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SEA\private\01 Cellule Finances\02 SEA\Décomptes\Formulaires Décompte\Formulaire Décompte Änder 2024\"/>
    </mc:Choice>
  </mc:AlternateContent>
  <xr:revisionPtr revIDLastSave="0" documentId="13_ncr:1_{5E1EC8A5-33CA-4EC3-8B58-31908E82E827}" xr6:coauthVersionLast="47" xr6:coauthVersionMax="47" xr10:uidLastSave="{00000000-0000-0000-0000-000000000000}"/>
  <workbookProtection workbookAlgorithmName="SHA-512" workbookHashValue="oxV10GAMNVpB0AXrgPUx4v3Acole9hjGEDx8J69RSjLImzZc7BHSfXEbHc8obXjSmJk3o6la3DD4979tIw5V1g==" workbookSaltValue="HwWUJMXfbeKi/fB8vXq+tg==" workbookSpinCount="100000" lockStructure="1"/>
  <bookViews>
    <workbookView xWindow="-120" yWindow="480" windowWidth="29040" windowHeight="15840" tabRatio="850" xr2:uid="{00000000-000D-0000-FFFF-FFFF00000000}"/>
  </bookViews>
  <sheets>
    <sheet name="Informations générales 1" sheetId="1" r:id="rId1"/>
    <sheet name="Informations générales 2" sheetId="3" r:id="rId2"/>
    <sheet name="Informations générales 3" sheetId="4" r:id="rId3"/>
    <sheet name="BPI" sheetId="5" state="hidden" r:id="rId4"/>
    <sheet name="Renfort Temporaire" sheetId="6" r:id="rId5"/>
    <sheet name="Formation" sheetId="18" state="hidden" r:id="rId6"/>
    <sheet name="FONCTIONNEMENT" sheetId="7" r:id="rId7"/>
    <sheet name="SALAIRES CCT SAS" sheetId="8" r:id="rId8"/>
    <sheet name="SALAIRES COMMUNE" sheetId="12" r:id="rId9"/>
    <sheet name="RECETTES" sheetId="13" r:id="rId10"/>
    <sheet name="TABLEAU FINAL" sheetId="14" r:id="rId11"/>
    <sheet name="TABLEAU FINAL COVID" sheetId="17" state="hidden" r:id="rId12"/>
    <sheet name="Variable et Dropdowns" sheetId="2" state="hidden" r:id="rId13"/>
    <sheet name="ETP RECAP" sheetId="16" state="hidden" r:id="rId14"/>
    <sheet name="REVEX" sheetId="15" state="hidden" r:id="rId15"/>
    <sheet name="RTT" sheetId="10" r:id="rId16"/>
    <sheet name="Grille CCT SAS" sheetId="9" r:id="rId17"/>
    <sheet name="Grille communale" sheetId="11" r:id="rId18"/>
  </sheets>
  <definedNames>
    <definedName name="delta">'Variable et Dropdowns'!$AQ$1</definedName>
    <definedName name="Employé">'Grille communale'!$E$3:$E$17</definedName>
    <definedName name="Fonctionnaire">'Grille communale'!$D$3:$D$18</definedName>
    <definedName name="_xlnm.Print_Area" localSheetId="3">BPI!$B$1:$F$65</definedName>
    <definedName name="_xlnm.Print_Area" localSheetId="6">FONCTIONNEMENT!$B$1:$G$502</definedName>
    <definedName name="_xlnm.Print_Area" localSheetId="0">'Informations générales 1'!$B$1:$F$63</definedName>
    <definedName name="_xlnm.Print_Area" localSheetId="1">'Informations générales 2'!$B$1:$L$48</definedName>
    <definedName name="_xlnm.Print_Area" localSheetId="2">'Informations générales 3'!$B$1:$D$82</definedName>
    <definedName name="_xlnm.Print_Area" localSheetId="9">'RECETTES'!$B$1:$G$101</definedName>
    <definedName name="_xlnm.Print_Area" localSheetId="4">'Renfort Temporaire'!$B$1:$G$109</definedName>
    <definedName name="_xlnm.Print_Area" localSheetId="14">REVEX!$B$1:$K$259</definedName>
    <definedName name="_xlnm.Print_Area" localSheetId="7">'SALAIRES CCT SAS'!$B$1:$AG$511</definedName>
    <definedName name="_xlnm.Print_Area" localSheetId="8">'SALAIRES COMMUNE'!$B$1:$AH$771</definedName>
    <definedName name="_xlnm.Print_Area" localSheetId="10">'TABLEAU FINAL'!$B$1:$E$124</definedName>
    <definedName name="_xlnm.Print_Area" localSheetId="11">'TABLEAU FINAL COVID'!$B$1:$F$87</definedName>
    <definedName name="Redressement">REVEX!$B$174:$F$180</definedName>
    <definedName name="Salarié">'Grille communale'!$F$3:$F$10</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4" l="1"/>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8" i="3"/>
  <c r="B3" i="10" l="1"/>
  <c r="E2" i="10"/>
  <c r="E1" i="10"/>
  <c r="B5" i="10" l="1"/>
  <c r="B6" i="10" s="1"/>
  <c r="C6" i="10" s="1"/>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AI280" i="12" s="1"/>
  <c r="B281" i="12"/>
  <c r="AI281" i="12" s="1"/>
  <c r="B282" i="12"/>
  <c r="Z282" i="12" s="1"/>
  <c r="B283" i="12"/>
  <c r="Z283" i="12" s="1"/>
  <c r="B284" i="12"/>
  <c r="B285" i="12"/>
  <c r="AI285" i="12" s="1"/>
  <c r="B286" i="12"/>
  <c r="AI286" i="12" s="1"/>
  <c r="B287" i="12"/>
  <c r="Z287" i="12" s="1"/>
  <c r="B288" i="12"/>
  <c r="Z288" i="12" s="1"/>
  <c r="B289" i="12"/>
  <c r="Z289" i="12" s="1"/>
  <c r="B290" i="12"/>
  <c r="Z290" i="12" s="1"/>
  <c r="B291" i="12"/>
  <c r="B292" i="12"/>
  <c r="Z292" i="12" s="1"/>
  <c r="B293" i="12"/>
  <c r="Z293" i="12" s="1"/>
  <c r="B294" i="12"/>
  <c r="Z294" i="12" s="1"/>
  <c r="B295" i="12"/>
  <c r="Z295" i="12" s="1"/>
  <c r="B296" i="12"/>
  <c r="Z296" i="12" s="1"/>
  <c r="B297" i="12"/>
  <c r="Z297" i="12" s="1"/>
  <c r="B298" i="12"/>
  <c r="Z298" i="12" s="1"/>
  <c r="B299" i="12"/>
  <c r="AI299" i="12" s="1"/>
  <c r="B300" i="12"/>
  <c r="AI300" i="12" s="1"/>
  <c r="B301" i="12"/>
  <c r="Z301" i="12" s="1"/>
  <c r="B302" i="12"/>
  <c r="AI302" i="12" s="1"/>
  <c r="B303" i="12"/>
  <c r="B304" i="12"/>
  <c r="Z304" i="12" s="1"/>
  <c r="B305" i="12"/>
  <c r="AI305" i="12" s="1"/>
  <c r="B306" i="12"/>
  <c r="AI306" i="12" s="1"/>
  <c r="B307" i="12"/>
  <c r="AI307" i="12" s="1"/>
  <c r="B308" i="12"/>
  <c r="Z308" i="12" s="1"/>
  <c r="B309" i="12"/>
  <c r="Z309" i="12" s="1"/>
  <c r="B310" i="12"/>
  <c r="AI310" i="12" s="1"/>
  <c r="B311" i="12"/>
  <c r="AI311" i="12" s="1"/>
  <c r="B312" i="12"/>
  <c r="Z312" i="12" s="1"/>
  <c r="B313" i="12"/>
  <c r="Z313" i="12" s="1"/>
  <c r="B314" i="12"/>
  <c r="Z314" i="12" s="1"/>
  <c r="B315" i="12"/>
  <c r="B316" i="12"/>
  <c r="Z316" i="12" s="1"/>
  <c r="B317" i="12"/>
  <c r="AI317" i="12" s="1"/>
  <c r="B318" i="12"/>
  <c r="AI318" i="12" s="1"/>
  <c r="B319" i="12"/>
  <c r="Z319" i="12" s="1"/>
  <c r="B320" i="12"/>
  <c r="Z320" i="12" s="1"/>
  <c r="B321" i="12"/>
  <c r="Z321" i="12" s="1"/>
  <c r="B322" i="12"/>
  <c r="Z322" i="12" s="1"/>
  <c r="B323" i="12"/>
  <c r="Z323" i="12" s="1"/>
  <c r="B324" i="12"/>
  <c r="Z324" i="12" s="1"/>
  <c r="B325" i="12"/>
  <c r="Z325" i="12" s="1"/>
  <c r="B326" i="12"/>
  <c r="Z326" i="12" s="1"/>
  <c r="B327" i="12"/>
  <c r="B328" i="12"/>
  <c r="Z328" i="12" s="1"/>
  <c r="B329" i="12"/>
  <c r="Z329" i="12" s="1"/>
  <c r="B330" i="12"/>
  <c r="AI330" i="12" s="1"/>
  <c r="B331" i="12"/>
  <c r="Z331" i="12" s="1"/>
  <c r="B332" i="12"/>
  <c r="AI332" i="12" s="1"/>
  <c r="B333" i="12"/>
  <c r="AI333" i="12" s="1"/>
  <c r="B334" i="12"/>
  <c r="Z334" i="12" s="1"/>
  <c r="B335" i="12"/>
  <c r="AI335" i="12" s="1"/>
  <c r="B336" i="12"/>
  <c r="AI336" i="12" s="1"/>
  <c r="B337" i="12"/>
  <c r="Z337" i="12" s="1"/>
  <c r="B338" i="12"/>
  <c r="Z338" i="12" s="1"/>
  <c r="B339" i="12"/>
  <c r="B340" i="12"/>
  <c r="Z340" i="12" s="1"/>
  <c r="B341" i="12"/>
  <c r="Z341" i="12" s="1"/>
  <c r="B342" i="12"/>
  <c r="AI342" i="12" s="1"/>
  <c r="B343" i="12"/>
  <c r="Z343" i="12" s="1"/>
  <c r="B344" i="12"/>
  <c r="Z344" i="12" s="1"/>
  <c r="B345" i="12"/>
  <c r="Z345" i="12" s="1"/>
  <c r="B346" i="12"/>
  <c r="Z346" i="12" s="1"/>
  <c r="B347" i="12"/>
  <c r="Z347" i="12" s="1"/>
  <c r="B348" i="12"/>
  <c r="Z348" i="12" s="1"/>
  <c r="B349" i="12"/>
  <c r="Z349" i="12" s="1"/>
  <c r="B350" i="12"/>
  <c r="Z350" i="12" s="1"/>
  <c r="B351" i="12"/>
  <c r="B352" i="12"/>
  <c r="Z352" i="12" s="1"/>
  <c r="B353" i="12"/>
  <c r="AI353" i="12" s="1"/>
  <c r="B354" i="12"/>
  <c r="Z354" i="12" s="1"/>
  <c r="B355" i="12"/>
  <c r="AI355" i="12" s="1"/>
  <c r="B356" i="12"/>
  <c r="Z356" i="12" s="1"/>
  <c r="B357" i="12"/>
  <c r="Z357" i="12" s="1"/>
  <c r="B358" i="12"/>
  <c r="AI358" i="12" s="1"/>
  <c r="B359" i="12"/>
  <c r="Z359" i="12" s="1"/>
  <c r="B360" i="12"/>
  <c r="Z360" i="12" s="1"/>
  <c r="B361" i="12"/>
  <c r="Z361" i="12" s="1"/>
  <c r="B362" i="12"/>
  <c r="Z362" i="12" s="1"/>
  <c r="B363" i="12"/>
  <c r="B364" i="12"/>
  <c r="AI364" i="12" s="1"/>
  <c r="B365" i="12"/>
  <c r="Z365" i="12" s="1"/>
  <c r="B366" i="12"/>
  <c r="Z366" i="12" s="1"/>
  <c r="B367" i="12"/>
  <c r="Z367" i="12" s="1"/>
  <c r="B368" i="12"/>
  <c r="Z368" i="12" s="1"/>
  <c r="B369" i="12"/>
  <c r="Z369" i="12" s="1"/>
  <c r="B370" i="12"/>
  <c r="AI370" i="12" s="1"/>
  <c r="B371" i="12"/>
  <c r="Z371" i="12" s="1"/>
  <c r="B372" i="12"/>
  <c r="Z372" i="12" s="1"/>
  <c r="B373" i="12"/>
  <c r="Z373" i="12" s="1"/>
  <c r="B374" i="12"/>
  <c r="Z374" i="12" s="1"/>
  <c r="B375" i="12"/>
  <c r="B376" i="12"/>
  <c r="Z376" i="12" s="1"/>
  <c r="B377" i="12"/>
  <c r="Z377" i="12" s="1"/>
  <c r="B378" i="12"/>
  <c r="AI378" i="12" s="1"/>
  <c r="B379" i="12"/>
  <c r="Z379" i="12" s="1"/>
  <c r="B380" i="12"/>
  <c r="Z380" i="12" s="1"/>
  <c r="B381" i="12"/>
  <c r="Z381" i="12" s="1"/>
  <c r="B382" i="12"/>
  <c r="AI382" i="12" s="1"/>
  <c r="B383" i="12"/>
  <c r="AI383" i="12" s="1"/>
  <c r="B384" i="12"/>
  <c r="Z384" i="12" s="1"/>
  <c r="B385" i="12"/>
  <c r="Z385" i="12" s="1"/>
  <c r="B386" i="12"/>
  <c r="Z386" i="12" s="1"/>
  <c r="B387" i="12"/>
  <c r="B388" i="12"/>
  <c r="Z388" i="12" s="1"/>
  <c r="B389" i="12"/>
  <c r="Z389" i="12" s="1"/>
  <c r="B390" i="12"/>
  <c r="AI390" i="12" s="1"/>
  <c r="B391" i="12"/>
  <c r="Z391" i="12" s="1"/>
  <c r="B392" i="12"/>
  <c r="Z392" i="12" s="1"/>
  <c r="B393" i="12"/>
  <c r="Z393" i="12" s="1"/>
  <c r="B394" i="12"/>
  <c r="Z394" i="12" s="1"/>
  <c r="B395" i="12"/>
  <c r="Z395" i="12" s="1"/>
  <c r="B396" i="12"/>
  <c r="AI396" i="12" s="1"/>
  <c r="B397" i="12"/>
  <c r="AI397" i="12" s="1"/>
  <c r="B398" i="12"/>
  <c r="AI398" i="12" s="1"/>
  <c r="B399" i="12"/>
  <c r="B400" i="12"/>
  <c r="Z400" i="12" s="1"/>
  <c r="B401" i="12"/>
  <c r="Z401" i="12" s="1"/>
  <c r="B402" i="12"/>
  <c r="AI402" i="12" s="1"/>
  <c r="B403" i="12"/>
  <c r="Z403" i="12" s="1"/>
  <c r="B404" i="12"/>
  <c r="AI404" i="12" s="1"/>
  <c r="B405" i="12"/>
  <c r="Z405" i="12" s="1"/>
  <c r="B406" i="12"/>
  <c r="AI406" i="12" s="1"/>
  <c r="B407" i="12"/>
  <c r="B408" i="12"/>
  <c r="AI408" i="12" s="1"/>
  <c r="B409" i="12"/>
  <c r="Z409" i="12" s="1"/>
  <c r="B410" i="12"/>
  <c r="Z410" i="12" s="1"/>
  <c r="B411" i="12"/>
  <c r="B412" i="12"/>
  <c r="Z412" i="12" s="1"/>
  <c r="B413" i="12"/>
  <c r="Z413" i="12" s="1"/>
  <c r="B414" i="12"/>
  <c r="AI414" i="12" s="1"/>
  <c r="B415" i="12"/>
  <c r="Z415" i="12" s="1"/>
  <c r="B416" i="12"/>
  <c r="AI416" i="12" s="1"/>
  <c r="B417" i="12"/>
  <c r="Z417" i="12" s="1"/>
  <c r="B418" i="12"/>
  <c r="Z418" i="12" s="1"/>
  <c r="B419" i="12"/>
  <c r="Z419" i="12" s="1"/>
  <c r="B420" i="12"/>
  <c r="Z420" i="12" s="1"/>
  <c r="B421" i="12"/>
  <c r="Z421" i="12" s="1"/>
  <c r="B422" i="12"/>
  <c r="Z422" i="12" s="1"/>
  <c r="B423" i="12"/>
  <c r="B424" i="12"/>
  <c r="Z424" i="12" s="1"/>
  <c r="B425" i="12"/>
  <c r="Z425" i="12" s="1"/>
  <c r="B426" i="12"/>
  <c r="Z426" i="12" s="1"/>
  <c r="B427" i="12"/>
  <c r="Z427" i="12" s="1"/>
  <c r="B428" i="12"/>
  <c r="B429" i="12"/>
  <c r="Z429" i="12" s="1"/>
  <c r="B430" i="12"/>
  <c r="AI430" i="12" s="1"/>
  <c r="B431" i="12"/>
  <c r="AI431" i="12" s="1"/>
  <c r="B432" i="12"/>
  <c r="Z432" i="12" s="1"/>
  <c r="B433" i="12"/>
  <c r="Z433" i="12" s="1"/>
  <c r="B434" i="12"/>
  <c r="Z434" i="12" s="1"/>
  <c r="B435" i="12"/>
  <c r="B436" i="12"/>
  <c r="Z436" i="12" s="1"/>
  <c r="B437" i="12"/>
  <c r="Z437" i="12" s="1"/>
  <c r="B438" i="12"/>
  <c r="Z438" i="12" s="1"/>
  <c r="B439" i="12"/>
  <c r="Z439" i="12" s="1"/>
  <c r="B440" i="12"/>
  <c r="Z440" i="12" s="1"/>
  <c r="B441" i="12"/>
  <c r="Z441" i="12" s="1"/>
  <c r="B442" i="12"/>
  <c r="Z442" i="12" s="1"/>
  <c r="B443" i="12"/>
  <c r="AI443" i="12" s="1"/>
  <c r="B444" i="12"/>
  <c r="Z444" i="12" s="1"/>
  <c r="B445" i="12"/>
  <c r="AI445" i="12" s="1"/>
  <c r="B446" i="12"/>
  <c r="Z446" i="12" s="1"/>
  <c r="B447" i="12"/>
  <c r="B448" i="12"/>
  <c r="Z448" i="12" s="1"/>
  <c r="B449" i="12"/>
  <c r="AI449" i="12" s="1"/>
  <c r="B450" i="12"/>
  <c r="AI450" i="12" s="1"/>
  <c r="B451" i="12"/>
  <c r="AI451" i="12" s="1"/>
  <c r="B452" i="12"/>
  <c r="Z452" i="12" s="1"/>
  <c r="B453" i="12"/>
  <c r="AI453" i="12" s="1"/>
  <c r="B454" i="12"/>
  <c r="AI454" i="12" s="1"/>
  <c r="B455" i="12"/>
  <c r="Z455" i="12" s="1"/>
  <c r="B456" i="12"/>
  <c r="Z456" i="12" s="1"/>
  <c r="B457" i="12"/>
  <c r="Z457" i="12" s="1"/>
  <c r="B458" i="12"/>
  <c r="Z458" i="12" s="1"/>
  <c r="B459" i="12"/>
  <c r="B460" i="12"/>
  <c r="AI460" i="12" s="1"/>
  <c r="B461" i="12"/>
  <c r="AI461" i="12" s="1"/>
  <c r="B462" i="12"/>
  <c r="AI462" i="12" s="1"/>
  <c r="B463" i="12"/>
  <c r="Z463" i="12" s="1"/>
  <c r="B464" i="12"/>
  <c r="Z464" i="12" s="1"/>
  <c r="B465" i="12"/>
  <c r="Z465" i="12" s="1"/>
  <c r="B466" i="12"/>
  <c r="AI466" i="12" s="1"/>
  <c r="B467" i="12"/>
  <c r="AI467" i="12" s="1"/>
  <c r="B468" i="12"/>
  <c r="AI468" i="12" s="1"/>
  <c r="B469" i="12"/>
  <c r="Z469" i="12" s="1"/>
  <c r="B470" i="12"/>
  <c r="Z470" i="12" s="1"/>
  <c r="B471" i="12"/>
  <c r="B472" i="12"/>
  <c r="Z472" i="12" s="1"/>
  <c r="B473" i="12"/>
  <c r="Z473" i="12" s="1"/>
  <c r="B474" i="12"/>
  <c r="AI474" i="12" s="1"/>
  <c r="B475" i="12"/>
  <c r="Z475" i="12" s="1"/>
  <c r="B476" i="12"/>
  <c r="AI476" i="12" s="1"/>
  <c r="B477" i="12"/>
  <c r="AI477" i="12" s="1"/>
  <c r="B478" i="12"/>
  <c r="AI478" i="12" s="1"/>
  <c r="B479" i="12"/>
  <c r="AI479" i="12" s="1"/>
  <c r="B480" i="12"/>
  <c r="AI480" i="12" s="1"/>
  <c r="B481" i="12"/>
  <c r="AI481" i="12" s="1"/>
  <c r="B482" i="12"/>
  <c r="Z482" i="12" s="1"/>
  <c r="B483" i="12"/>
  <c r="B484" i="12"/>
  <c r="Z484" i="12" s="1"/>
  <c r="B485" i="12"/>
  <c r="Z485" i="12" s="1"/>
  <c r="B486" i="12"/>
  <c r="AI486" i="12" s="1"/>
  <c r="B487" i="12"/>
  <c r="Z487" i="12" s="1"/>
  <c r="B488" i="12"/>
  <c r="Z488" i="12" s="1"/>
  <c r="B489" i="12"/>
  <c r="AI489" i="12" s="1"/>
  <c r="B490" i="12"/>
  <c r="Z490" i="12" s="1"/>
  <c r="B491" i="12"/>
  <c r="Z491" i="12" s="1"/>
  <c r="B492" i="12"/>
  <c r="Z492" i="12" s="1"/>
  <c r="B493" i="12"/>
  <c r="AI493" i="12" s="1"/>
  <c r="B494" i="12"/>
  <c r="Z494" i="12" s="1"/>
  <c r="B495" i="12"/>
  <c r="B496" i="12"/>
  <c r="B497" i="12"/>
  <c r="Z497" i="12" s="1"/>
  <c r="B498" i="12"/>
  <c r="B499" i="12"/>
  <c r="Z499" i="12" s="1"/>
  <c r="B500" i="12"/>
  <c r="AI500" i="12" s="1"/>
  <c r="B501" i="12"/>
  <c r="Z501" i="12" s="1"/>
  <c r="B502" i="12"/>
  <c r="Z502" i="12" s="1"/>
  <c r="B503" i="12"/>
  <c r="Z503" i="12" s="1"/>
  <c r="B504" i="12"/>
  <c r="AI504" i="12" s="1"/>
  <c r="B505" i="12"/>
  <c r="Z505" i="12" s="1"/>
  <c r="B506" i="12"/>
  <c r="AI506" i="12" s="1"/>
  <c r="B507" i="12"/>
  <c r="B508" i="12"/>
  <c r="AI508" i="12" s="1"/>
  <c r="B509" i="12"/>
  <c r="Z509" i="12" s="1"/>
  <c r="B510" i="12"/>
  <c r="Z510" i="12" s="1"/>
  <c r="B511" i="12"/>
  <c r="Z511" i="12" s="1"/>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Z717" i="12" s="1"/>
  <c r="B718" i="12"/>
  <c r="Z718" i="12" s="1"/>
  <c r="B719" i="12"/>
  <c r="Z719" i="12" s="1"/>
  <c r="B720" i="12"/>
  <c r="AI720" i="12" s="1"/>
  <c r="B721" i="12"/>
  <c r="Z721" i="12" s="1"/>
  <c r="B722" i="12"/>
  <c r="AI722" i="12" s="1"/>
  <c r="B723" i="12"/>
  <c r="B724" i="12"/>
  <c r="AI724" i="12" s="1"/>
  <c r="B725" i="12"/>
  <c r="Z725" i="12" s="1"/>
  <c r="B726" i="12"/>
  <c r="AI726" i="12" s="1"/>
  <c r="B727" i="12"/>
  <c r="AI727" i="12" s="1"/>
  <c r="B728" i="12"/>
  <c r="Z728" i="12" s="1"/>
  <c r="B729" i="12"/>
  <c r="Z729" i="12" s="1"/>
  <c r="B730" i="12"/>
  <c r="Z730" i="12" s="1"/>
  <c r="B731" i="12"/>
  <c r="Z731" i="12" s="1"/>
  <c r="B732" i="12"/>
  <c r="AI732" i="12" s="1"/>
  <c r="B733" i="12"/>
  <c r="Z733" i="12" s="1"/>
  <c r="B734" i="12"/>
  <c r="AI734" i="12" s="1"/>
  <c r="B735" i="12"/>
  <c r="AI735" i="12" s="1"/>
  <c r="B736" i="12"/>
  <c r="Z736" i="12" s="1"/>
  <c r="B737" i="12"/>
  <c r="Z737" i="12" s="1"/>
  <c r="B738" i="12"/>
  <c r="AI738" i="12" s="1"/>
  <c r="B739" i="12"/>
  <c r="Z739" i="12" s="1"/>
  <c r="B740" i="12"/>
  <c r="Z740" i="12" s="1"/>
  <c r="B741" i="12"/>
  <c r="Z741" i="12" s="1"/>
  <c r="B742" i="12"/>
  <c r="Z742" i="12" s="1"/>
  <c r="B743" i="12"/>
  <c r="AI743" i="12" s="1"/>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AI770" i="12" s="1"/>
  <c r="AB717" i="12"/>
  <c r="AB718" i="12"/>
  <c r="AB719" i="12"/>
  <c r="AB720" i="12"/>
  <c r="AB721" i="12"/>
  <c r="AB722" i="12"/>
  <c r="AB723" i="12"/>
  <c r="AB724" i="12"/>
  <c r="AB725" i="12"/>
  <c r="AB726" i="12"/>
  <c r="AB727" i="12"/>
  <c r="AB728" i="12"/>
  <c r="AB729" i="12"/>
  <c r="AB730" i="12"/>
  <c r="AB731" i="12"/>
  <c r="AB732" i="12"/>
  <c r="AB733" i="12"/>
  <c r="AB734" i="12"/>
  <c r="AB735" i="12"/>
  <c r="AB736" i="12"/>
  <c r="AB737" i="12"/>
  <c r="AB738" i="12"/>
  <c r="AB739" i="12"/>
  <c r="AB740" i="12"/>
  <c r="AB741" i="12"/>
  <c r="AB742" i="12"/>
  <c r="AB743" i="12"/>
  <c r="AI731" i="12"/>
  <c r="Z335" i="12"/>
  <c r="Z336" i="12"/>
  <c r="Z407" i="12"/>
  <c r="Z408" i="12"/>
  <c r="Z479" i="12"/>
  <c r="Z480" i="12"/>
  <c r="Z496" i="12"/>
  <c r="AB280" i="12"/>
  <c r="AB281" i="12"/>
  <c r="AB282" i="12"/>
  <c r="AB283" i="12"/>
  <c r="AB284" i="12"/>
  <c r="AB285" i="12"/>
  <c r="AB286" i="12"/>
  <c r="AB287" i="12"/>
  <c r="AB288" i="12"/>
  <c r="AB289" i="12"/>
  <c r="AB290" i="12"/>
  <c r="AB291" i="12"/>
  <c r="AB292" i="12"/>
  <c r="AB293" i="12"/>
  <c r="AB294" i="12"/>
  <c r="AB295" i="12"/>
  <c r="AB296" i="12"/>
  <c r="AB297" i="12"/>
  <c r="AB298" i="12"/>
  <c r="AB299" i="12"/>
  <c r="AB300" i="12"/>
  <c r="AB301" i="12"/>
  <c r="AB302" i="12"/>
  <c r="AB303" i="12"/>
  <c r="AB304" i="12"/>
  <c r="AB305" i="12"/>
  <c r="AB306" i="12"/>
  <c r="AB307" i="12"/>
  <c r="AB308" i="12"/>
  <c r="AB309" i="12"/>
  <c r="AB310" i="12"/>
  <c r="AB311" i="12"/>
  <c r="AB312" i="12"/>
  <c r="AB313" i="12"/>
  <c r="AB314" i="12"/>
  <c r="AB315" i="12"/>
  <c r="AB316" i="12"/>
  <c r="AB317" i="12"/>
  <c r="AB318" i="12"/>
  <c r="AB319" i="12"/>
  <c r="AB320" i="12"/>
  <c r="AB321" i="12"/>
  <c r="AB322" i="12"/>
  <c r="AB323" i="12"/>
  <c r="AB324" i="12"/>
  <c r="AB325" i="12"/>
  <c r="AB326" i="12"/>
  <c r="AB327" i="12"/>
  <c r="AB328" i="12"/>
  <c r="AB329" i="12"/>
  <c r="AB330" i="12"/>
  <c r="AB331" i="12"/>
  <c r="AB332" i="12"/>
  <c r="AB333" i="12"/>
  <c r="AB334" i="12"/>
  <c r="AB335" i="12"/>
  <c r="AB336" i="12"/>
  <c r="AB337" i="12"/>
  <c r="AB338" i="12"/>
  <c r="AB339" i="12"/>
  <c r="AB340" i="12"/>
  <c r="AB341" i="12"/>
  <c r="AB342" i="12"/>
  <c r="AB343" i="12"/>
  <c r="AB344" i="12"/>
  <c r="AB345" i="12"/>
  <c r="AB346" i="12"/>
  <c r="AB347" i="12"/>
  <c r="AB348" i="12"/>
  <c r="AB349" i="12"/>
  <c r="AB350" i="12"/>
  <c r="AB351" i="12"/>
  <c r="AB352" i="12"/>
  <c r="AB353" i="12"/>
  <c r="AB354" i="12"/>
  <c r="AB355" i="12"/>
  <c r="AB356" i="12"/>
  <c r="AB357" i="12"/>
  <c r="AB358" i="12"/>
  <c r="AB359" i="12"/>
  <c r="AB360" i="12"/>
  <c r="AB361" i="12"/>
  <c r="AB362" i="12"/>
  <c r="AB363" i="12"/>
  <c r="AB364" i="12"/>
  <c r="AB365" i="12"/>
  <c r="AB366" i="12"/>
  <c r="AB367" i="12"/>
  <c r="AB368" i="12"/>
  <c r="AB369" i="12"/>
  <c r="AB370" i="12"/>
  <c r="AB371" i="12"/>
  <c r="AB372" i="12"/>
  <c r="AB373" i="12"/>
  <c r="AB374" i="12"/>
  <c r="AB375" i="12"/>
  <c r="AB376" i="12"/>
  <c r="AB377" i="12"/>
  <c r="AB378" i="12"/>
  <c r="AB379" i="12"/>
  <c r="AB380" i="12"/>
  <c r="AB381" i="12"/>
  <c r="AB382"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416" i="12"/>
  <c r="AB417" i="12"/>
  <c r="AB418" i="12"/>
  <c r="AB419" i="12"/>
  <c r="AB420" i="12"/>
  <c r="AB421" i="12"/>
  <c r="AB422" i="12"/>
  <c r="AB423" i="12"/>
  <c r="AB424" i="12"/>
  <c r="AB425" i="12"/>
  <c r="AB426" i="12"/>
  <c r="AB427" i="12"/>
  <c r="AB428" i="12"/>
  <c r="AB429" i="12"/>
  <c r="AB430" i="12"/>
  <c r="AB431" i="12"/>
  <c r="AB432" i="12"/>
  <c r="AB433" i="12"/>
  <c r="AB434" i="12"/>
  <c r="AB435" i="12"/>
  <c r="AB436" i="12"/>
  <c r="AB437" i="12"/>
  <c r="AB438" i="12"/>
  <c r="AB439" i="12"/>
  <c r="AB440" i="12"/>
  <c r="AB441" i="12"/>
  <c r="AB442" i="12"/>
  <c r="AB443" i="12"/>
  <c r="AB444" i="12"/>
  <c r="AB445" i="12"/>
  <c r="AB446" i="12"/>
  <c r="AB447" i="12"/>
  <c r="AB448" i="12"/>
  <c r="AB449" i="12"/>
  <c r="AB450" i="12"/>
  <c r="AB451" i="12"/>
  <c r="AB452" i="12"/>
  <c r="AB453" i="12"/>
  <c r="AB454" i="12"/>
  <c r="AB455" i="12"/>
  <c r="AB456" i="12"/>
  <c r="AB457" i="12"/>
  <c r="AB458" i="12"/>
  <c r="AB459" i="12"/>
  <c r="AB460" i="12"/>
  <c r="AB461" i="12"/>
  <c r="AB462" i="12"/>
  <c r="AB463" i="12"/>
  <c r="AB464" i="12"/>
  <c r="AB465" i="12"/>
  <c r="AB466" i="12"/>
  <c r="AB467" i="12"/>
  <c r="AB468" i="12"/>
  <c r="AB469" i="12"/>
  <c r="AB470" i="12"/>
  <c r="AB471" i="12"/>
  <c r="AB472" i="12"/>
  <c r="AB473" i="12"/>
  <c r="AB474" i="12"/>
  <c r="AB475" i="12"/>
  <c r="AB476" i="12"/>
  <c r="AB477" i="12"/>
  <c r="AB478" i="12"/>
  <c r="AB479" i="12"/>
  <c r="AB480" i="12"/>
  <c r="AB481" i="12"/>
  <c r="AB482" i="12"/>
  <c r="AB483" i="12"/>
  <c r="AB484" i="12"/>
  <c r="AB485" i="12"/>
  <c r="AB486" i="12"/>
  <c r="AB487" i="12"/>
  <c r="AB488" i="12"/>
  <c r="AB489" i="12"/>
  <c r="AB490" i="12"/>
  <c r="AB491" i="12"/>
  <c r="AB492" i="12"/>
  <c r="AB493" i="12"/>
  <c r="AB494" i="12"/>
  <c r="AB495" i="12"/>
  <c r="AB496" i="12"/>
  <c r="AB497" i="12"/>
  <c r="AB498" i="12"/>
  <c r="AB499" i="12"/>
  <c r="AB500" i="12"/>
  <c r="AB501" i="12"/>
  <c r="AB502" i="12"/>
  <c r="AB503" i="12"/>
  <c r="AB504" i="12"/>
  <c r="AB505" i="12"/>
  <c r="AB506" i="12"/>
  <c r="AB507" i="12"/>
  <c r="AB508" i="12"/>
  <c r="AB509" i="12"/>
  <c r="AB510" i="12"/>
  <c r="AB511" i="12"/>
  <c r="AI287" i="12"/>
  <c r="AI288" i="12"/>
  <c r="AI301" i="12"/>
  <c r="AI347" i="12"/>
  <c r="AI348" i="12"/>
  <c r="AI349" i="12"/>
  <c r="AI405" i="12"/>
  <c r="AI407" i="12"/>
  <c r="AI434" i="12"/>
  <c r="AI448" i="12"/>
  <c r="AI455" i="12"/>
  <c r="AI456" i="12"/>
  <c r="AI457" i="12"/>
  <c r="AI496" i="12"/>
  <c r="AI501" i="12"/>
  <c r="AI503" i="12"/>
  <c r="AB770" i="12"/>
  <c r="B34" i="4"/>
  <c r="B31" i="4"/>
  <c r="B14" i="14"/>
  <c r="B17" i="14"/>
  <c r="B36" i="4"/>
  <c r="B37" i="4"/>
  <c r="Z396" i="12" l="1"/>
  <c r="AI384" i="12"/>
  <c r="AI323" i="12"/>
  <c r="Z383" i="12"/>
  <c r="Z311" i="12"/>
  <c r="AI444" i="12"/>
  <c r="AI432" i="12"/>
  <c r="AI372" i="12"/>
  <c r="AI312" i="12"/>
  <c r="Z504" i="12"/>
  <c r="Z300" i="12"/>
  <c r="Z743" i="12"/>
  <c r="Z467" i="12"/>
  <c r="AI491" i="12"/>
  <c r="AI490" i="12"/>
  <c r="AI371" i="12"/>
  <c r="Z443" i="12"/>
  <c r="Z299" i="12"/>
  <c r="Z732" i="12"/>
  <c r="Z468" i="12"/>
  <c r="AI719" i="12"/>
  <c r="AI492" i="12"/>
  <c r="AI324" i="12"/>
  <c r="AI420" i="12"/>
  <c r="AI360" i="12"/>
  <c r="AI309" i="12"/>
  <c r="Z720" i="12"/>
  <c r="AI395" i="12"/>
  <c r="AI419" i="12"/>
  <c r="AI359" i="12"/>
  <c r="Z431" i="12"/>
  <c r="AI465" i="12"/>
  <c r="AI418" i="12"/>
  <c r="AI357" i="12"/>
  <c r="Z489" i="12"/>
  <c r="AI736" i="12"/>
  <c r="AI429" i="12"/>
  <c r="AI381" i="12"/>
  <c r="AI334" i="12"/>
  <c r="AI505" i="12"/>
  <c r="Z461" i="12"/>
  <c r="AI365" i="12"/>
  <c r="AI502" i="12"/>
  <c r="AI417" i="12"/>
  <c r="Z302" i="12"/>
  <c r="AI338" i="12"/>
  <c r="AI290" i="12"/>
  <c r="AI446" i="12"/>
  <c r="Z506" i="12"/>
  <c r="AI350" i="12"/>
  <c r="AI401" i="12"/>
  <c r="Z317" i="12"/>
  <c r="AI463" i="12"/>
  <c r="AI497" i="12"/>
  <c r="Z355" i="12"/>
  <c r="Z307" i="12"/>
  <c r="AI403" i="12"/>
  <c r="AI427" i="12"/>
  <c r="AI511" i="12"/>
  <c r="Z451" i="12"/>
  <c r="Z353" i="12"/>
  <c r="Z305" i="12"/>
  <c r="AI509" i="12"/>
  <c r="AI319" i="12"/>
  <c r="Z449" i="12"/>
  <c r="AI283" i="12"/>
  <c r="AI475" i="12"/>
  <c r="AI473" i="12"/>
  <c r="AI415" i="12"/>
  <c r="AI379" i="12"/>
  <c r="AI331" i="12"/>
  <c r="AI413" i="12"/>
  <c r="Z727" i="12"/>
  <c r="AI499" i="12"/>
  <c r="AI367" i="12"/>
  <c r="AI494" i="12"/>
  <c r="Z398" i="12"/>
  <c r="AI458" i="12"/>
  <c r="AI386" i="12"/>
  <c r="Z770" i="12"/>
  <c r="Z478" i="12"/>
  <c r="AI369" i="12"/>
  <c r="Z477" i="12"/>
  <c r="Z453" i="12"/>
  <c r="Z430" i="12"/>
  <c r="Z382" i="12"/>
  <c r="Z286" i="12"/>
  <c r="AI718" i="12"/>
  <c r="AI442" i="12"/>
  <c r="AI393" i="12"/>
  <c r="AI346" i="12"/>
  <c r="AI321" i="12"/>
  <c r="Z333" i="12"/>
  <c r="Z285" i="12"/>
  <c r="AI717" i="12"/>
  <c r="Z454" i="12"/>
  <c r="Z406" i="12"/>
  <c r="Z310" i="12"/>
  <c r="AI441" i="12"/>
  <c r="AI394" i="12"/>
  <c r="AI322" i="12"/>
  <c r="AI433" i="12"/>
  <c r="AI345" i="12"/>
  <c r="AI298" i="12"/>
  <c r="Z358" i="12"/>
  <c r="AI385" i="12"/>
  <c r="AI297" i="12"/>
  <c r="Z493" i="12"/>
  <c r="AI337" i="12"/>
  <c r="Z445" i="12"/>
  <c r="Z397" i="12"/>
  <c r="AI742" i="12"/>
  <c r="AI289" i="12"/>
  <c r="Z466" i="12"/>
  <c r="Z370" i="12"/>
  <c r="AI733" i="12"/>
  <c r="Z481" i="12"/>
  <c r="AI730" i="12"/>
  <c r="Z508" i="12"/>
  <c r="Z460" i="12"/>
  <c r="Z364" i="12"/>
  <c r="AI482" i="12"/>
  <c r="AI436" i="12"/>
  <c r="AI388" i="12"/>
  <c r="AI340" i="12"/>
  <c r="AI292" i="12"/>
  <c r="AI739" i="12"/>
  <c r="AI721" i="12"/>
  <c r="AI412" i="12"/>
  <c r="AI737" i="12"/>
  <c r="Z734" i="12"/>
  <c r="AI510" i="12"/>
  <c r="AI400" i="12"/>
  <c r="AI352" i="12"/>
  <c r="AI304" i="12"/>
  <c r="AI316" i="12"/>
  <c r="AI362" i="12"/>
  <c r="AI472" i="12"/>
  <c r="AI425" i="12"/>
  <c r="AI409" i="12"/>
  <c r="AI377" i="12"/>
  <c r="AI361" i="12"/>
  <c r="AI329" i="12"/>
  <c r="AI313" i="12"/>
  <c r="AI282" i="12"/>
  <c r="Z281" i="12"/>
  <c r="Z724" i="12"/>
  <c r="AI487" i="12"/>
  <c r="AI470" i="12"/>
  <c r="AI439" i="12"/>
  <c r="AI424" i="12"/>
  <c r="AI376" i="12"/>
  <c r="AI328" i="12"/>
  <c r="Z280" i="12"/>
  <c r="AI725" i="12"/>
  <c r="Z722" i="12"/>
  <c r="AI485" i="12"/>
  <c r="AI469" i="12"/>
  <c r="AI438" i="12"/>
  <c r="AI422" i="12"/>
  <c r="AI391" i="12"/>
  <c r="AI374" i="12"/>
  <c r="AI343" i="12"/>
  <c r="AI326" i="12"/>
  <c r="AI295" i="12"/>
  <c r="Z462" i="12"/>
  <c r="AI410" i="12"/>
  <c r="AI314" i="12"/>
  <c r="AI484" i="12"/>
  <c r="AI437" i="12"/>
  <c r="AI421" i="12"/>
  <c r="AI389" i="12"/>
  <c r="AI373" i="12"/>
  <c r="AI341" i="12"/>
  <c r="AI325" i="12"/>
  <c r="AI293" i="12"/>
  <c r="AI729" i="12"/>
  <c r="Z404" i="12"/>
  <c r="AI741" i="12"/>
  <c r="AI728" i="12"/>
  <c r="Z332" i="12"/>
  <c r="AI740" i="12"/>
  <c r="AI723" i="12"/>
  <c r="Z723" i="12"/>
  <c r="Z735" i="12"/>
  <c r="AI498" i="12"/>
  <c r="AI426" i="12"/>
  <c r="Z450" i="12"/>
  <c r="AI354" i="12"/>
  <c r="Z378" i="12"/>
  <c r="Z306" i="12"/>
  <c r="Z390" i="12"/>
  <c r="Z318" i="12"/>
  <c r="Z738" i="12"/>
  <c r="Z726" i="12"/>
  <c r="AI294" i="12"/>
  <c r="Z474" i="12"/>
  <c r="Z402" i="12"/>
  <c r="Z330" i="12"/>
  <c r="AI366" i="12"/>
  <c r="Z486" i="12"/>
  <c r="Z414" i="12"/>
  <c r="Z342" i="12"/>
  <c r="Z498" i="12"/>
  <c r="AI428" i="12"/>
  <c r="AI284" i="12"/>
  <c r="Z416" i="12"/>
  <c r="AI440" i="12"/>
  <c r="AI296" i="12"/>
  <c r="Z428" i="12"/>
  <c r="Z284" i="12"/>
  <c r="AI452" i="12"/>
  <c r="AI308" i="12"/>
  <c r="AI464" i="12"/>
  <c r="AI320" i="12"/>
  <c r="AI488" i="12"/>
  <c r="AI344" i="12"/>
  <c r="Z476" i="12"/>
  <c r="AI356" i="12"/>
  <c r="AI368" i="12"/>
  <c r="Z500" i="12"/>
  <c r="AI380" i="12"/>
  <c r="AI392" i="12"/>
  <c r="Z507" i="12"/>
  <c r="Z495" i="12"/>
  <c r="Z483" i="12"/>
  <c r="Z471" i="12"/>
  <c r="Z459" i="12"/>
  <c r="Z447" i="12"/>
  <c r="Z435" i="12"/>
  <c r="Z423" i="12"/>
  <c r="Z411" i="12"/>
  <c r="Z399" i="12"/>
  <c r="Z387" i="12"/>
  <c r="Z375" i="12"/>
  <c r="Z363" i="12"/>
  <c r="Z351" i="12"/>
  <c r="Z339" i="12"/>
  <c r="Z327" i="12"/>
  <c r="Z315" i="12"/>
  <c r="Z303" i="12"/>
  <c r="Z291" i="12"/>
  <c r="AI507" i="12"/>
  <c r="AI495" i="12"/>
  <c r="AI483" i="12"/>
  <c r="AI471" i="12"/>
  <c r="AI459" i="12"/>
  <c r="AI447" i="12"/>
  <c r="AI435" i="12"/>
  <c r="AI423" i="12"/>
  <c r="AI411" i="12"/>
  <c r="AI399" i="12"/>
  <c r="AI387" i="12"/>
  <c r="AI375" i="12"/>
  <c r="AI363" i="12"/>
  <c r="AI351" i="12"/>
  <c r="AI339" i="12"/>
  <c r="AI327" i="12"/>
  <c r="AI315" i="12"/>
  <c r="AI303" i="12"/>
  <c r="AI291" i="12"/>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B67" i="14"/>
  <c r="B26" i="4" l="1"/>
  <c r="B33" i="4"/>
  <c r="B32" i="4"/>
  <c r="Y7" i="8"/>
  <c r="Y8" i="8"/>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7" i="12"/>
  <c r="AB238" i="12"/>
  <c r="AB239" i="12"/>
  <c r="AB240" i="12"/>
  <c r="AB241" i="12"/>
  <c r="AB242" i="12"/>
  <c r="AB243" i="12"/>
  <c r="AB244" i="12"/>
  <c r="AB245" i="12"/>
  <c r="AB246" i="12"/>
  <c r="AB247" i="12"/>
  <c r="AB248" i="12"/>
  <c r="AB249" i="12"/>
  <c r="AB250" i="12"/>
  <c r="AB251" i="12"/>
  <c r="AB252" i="12"/>
  <c r="AB253" i="12"/>
  <c r="AB254" i="12"/>
  <c r="AB255" i="12"/>
  <c r="AB256" i="12"/>
  <c r="AB257" i="12"/>
  <c r="AB258" i="12"/>
  <c r="AB259" i="12"/>
  <c r="AB260" i="12"/>
  <c r="AB261" i="12"/>
  <c r="AB262" i="12"/>
  <c r="AB263" i="12"/>
  <c r="AB264" i="12"/>
  <c r="AB265" i="12"/>
  <c r="AB266" i="12"/>
  <c r="AB267" i="12"/>
  <c r="AB268" i="12"/>
  <c r="AB269" i="12"/>
  <c r="AB270" i="12"/>
  <c r="AB271" i="12"/>
  <c r="AB272" i="12"/>
  <c r="AB273" i="12"/>
  <c r="AB274" i="12"/>
  <c r="AB275" i="12"/>
  <c r="AB276" i="12"/>
  <c r="AB277" i="12"/>
  <c r="AB278" i="12"/>
  <c r="AB279" i="12"/>
  <c r="AB512" i="12"/>
  <c r="AB513" i="12"/>
  <c r="AB514" i="12"/>
  <c r="AB515" i="12"/>
  <c r="AB516" i="12"/>
  <c r="AB517" i="12"/>
  <c r="AB518" i="12"/>
  <c r="AB519" i="12"/>
  <c r="AB520" i="12"/>
  <c r="AB521" i="12"/>
  <c r="AB522" i="12"/>
  <c r="AB523" i="12"/>
  <c r="AB524" i="12"/>
  <c r="AB525" i="12"/>
  <c r="AB526" i="12"/>
  <c r="AB527" i="12"/>
  <c r="AB528" i="12"/>
  <c r="AB529" i="12"/>
  <c r="AB530" i="12"/>
  <c r="AB531" i="12"/>
  <c r="AB532" i="12"/>
  <c r="AB533" i="12"/>
  <c r="AB534" i="12"/>
  <c r="AB535" i="12"/>
  <c r="AB536" i="12"/>
  <c r="AB537" i="12"/>
  <c r="AB538" i="12"/>
  <c r="AB539" i="12"/>
  <c r="AB540" i="12"/>
  <c r="AB541" i="12"/>
  <c r="AB542" i="12"/>
  <c r="AB543" i="12"/>
  <c r="AB544" i="12"/>
  <c r="AB545" i="12"/>
  <c r="AB546" i="12"/>
  <c r="AB547" i="12"/>
  <c r="AB548" i="12"/>
  <c r="AB549" i="12"/>
  <c r="AB550" i="12"/>
  <c r="AB551" i="12"/>
  <c r="AB552" i="12"/>
  <c r="AB553" i="12"/>
  <c r="AB554" i="12"/>
  <c r="AB555" i="12"/>
  <c r="AB556" i="12"/>
  <c r="AB557" i="12"/>
  <c r="AB558" i="12"/>
  <c r="AB559" i="12"/>
  <c r="AB560" i="12"/>
  <c r="AB561" i="12"/>
  <c r="AB562" i="12"/>
  <c r="AB563" i="12"/>
  <c r="AB564" i="12"/>
  <c r="AB565" i="12"/>
  <c r="AB566" i="12"/>
  <c r="AB567" i="12"/>
  <c r="AB568" i="12"/>
  <c r="AB569" i="12"/>
  <c r="AB570" i="12"/>
  <c r="AB571" i="12"/>
  <c r="AB572" i="12"/>
  <c r="AB573" i="12"/>
  <c r="AB574" i="12"/>
  <c r="AB575" i="12"/>
  <c r="AB576" i="12"/>
  <c r="AB577" i="12"/>
  <c r="AB578" i="12"/>
  <c r="AB579" i="12"/>
  <c r="AB580" i="12"/>
  <c r="AB581" i="12"/>
  <c r="AB582" i="12"/>
  <c r="AB583" i="12"/>
  <c r="AB584" i="12"/>
  <c r="AB585" i="12"/>
  <c r="AB586" i="12"/>
  <c r="AB587" i="12"/>
  <c r="AB588" i="12"/>
  <c r="AB589" i="12"/>
  <c r="AB590" i="12"/>
  <c r="AB591" i="12"/>
  <c r="AB592" i="12"/>
  <c r="AB593" i="12"/>
  <c r="AB594" i="12"/>
  <c r="AB595" i="12"/>
  <c r="AB596" i="12"/>
  <c r="AB597" i="12"/>
  <c r="AB598" i="12"/>
  <c r="AB599" i="12"/>
  <c r="AB600" i="12"/>
  <c r="AB601" i="12"/>
  <c r="AB602" i="12"/>
  <c r="AB603" i="12"/>
  <c r="AB604" i="12"/>
  <c r="AB605" i="12"/>
  <c r="AB606" i="12"/>
  <c r="AB607" i="12"/>
  <c r="AB608" i="12"/>
  <c r="AB609" i="12"/>
  <c r="AB610" i="12"/>
  <c r="AB611" i="12"/>
  <c r="AB612" i="12"/>
  <c r="AB613" i="12"/>
  <c r="AB614" i="12"/>
  <c r="AB615" i="12"/>
  <c r="AB616" i="12"/>
  <c r="AB617" i="12"/>
  <c r="AB618" i="12"/>
  <c r="AB619" i="12"/>
  <c r="AB620" i="12"/>
  <c r="AB621" i="12"/>
  <c r="AB622" i="12"/>
  <c r="AB623" i="12"/>
  <c r="AB624" i="12"/>
  <c r="AB625" i="12"/>
  <c r="AB626" i="12"/>
  <c r="AB627" i="12"/>
  <c r="AB628" i="12"/>
  <c r="AB629" i="12"/>
  <c r="AB630" i="12"/>
  <c r="AB631" i="12"/>
  <c r="AB632" i="12"/>
  <c r="AB633" i="12"/>
  <c r="AB634" i="12"/>
  <c r="AB635" i="12"/>
  <c r="AB636" i="12"/>
  <c r="AB637" i="12"/>
  <c r="AB638" i="12"/>
  <c r="AB639" i="12"/>
  <c r="AB640" i="12"/>
  <c r="AB641" i="12"/>
  <c r="AB642" i="12"/>
  <c r="AB643" i="12"/>
  <c r="AB644" i="12"/>
  <c r="AB645" i="12"/>
  <c r="AB646" i="12"/>
  <c r="AB647" i="12"/>
  <c r="AB648" i="12"/>
  <c r="AB649" i="12"/>
  <c r="AB650" i="12"/>
  <c r="AB651" i="12"/>
  <c r="AB652" i="12"/>
  <c r="AB653" i="12"/>
  <c r="AB654" i="12"/>
  <c r="AB655" i="12"/>
  <c r="AB656" i="12"/>
  <c r="AB657" i="12"/>
  <c r="AB658" i="12"/>
  <c r="AB659" i="12"/>
  <c r="AB660" i="12"/>
  <c r="AB661" i="12"/>
  <c r="AB662" i="12"/>
  <c r="AB663" i="12"/>
  <c r="AB664" i="12"/>
  <c r="AB665" i="12"/>
  <c r="AB666" i="12"/>
  <c r="AB667" i="12"/>
  <c r="AB668" i="12"/>
  <c r="AB669" i="12"/>
  <c r="AB670" i="12"/>
  <c r="AB671" i="12"/>
  <c r="AB672" i="12"/>
  <c r="AB673" i="12"/>
  <c r="AB674" i="12"/>
  <c r="AB675" i="12"/>
  <c r="AB676" i="12"/>
  <c r="AB677" i="12"/>
  <c r="AB678" i="12"/>
  <c r="AB679" i="12"/>
  <c r="AB680" i="12"/>
  <c r="AB681" i="12"/>
  <c r="AB682" i="12"/>
  <c r="AB683" i="12"/>
  <c r="AB684" i="12"/>
  <c r="AB685" i="12"/>
  <c r="AB686" i="12"/>
  <c r="AB687" i="12"/>
  <c r="AB688" i="12"/>
  <c r="AB689" i="12"/>
  <c r="AB690" i="12"/>
  <c r="AB691" i="12"/>
  <c r="AB692" i="12"/>
  <c r="AB693" i="12"/>
  <c r="AB694" i="12"/>
  <c r="AB695" i="12"/>
  <c r="AB696" i="12"/>
  <c r="AB697" i="12"/>
  <c r="AB698" i="12"/>
  <c r="AB699" i="12"/>
  <c r="AB700" i="12"/>
  <c r="AB701" i="12"/>
  <c r="AB702" i="12"/>
  <c r="AB703" i="12"/>
  <c r="AB704" i="12"/>
  <c r="AB705" i="12"/>
  <c r="AB706" i="12"/>
  <c r="AB707" i="12"/>
  <c r="AB708" i="12"/>
  <c r="AB709" i="12"/>
  <c r="AB710" i="12"/>
  <c r="AB711" i="12"/>
  <c r="AB712" i="12"/>
  <c r="AB713" i="12"/>
  <c r="AB714" i="12"/>
  <c r="AB715" i="12"/>
  <c r="AB716" i="12"/>
  <c r="AB744" i="12"/>
  <c r="AB745" i="12"/>
  <c r="AB746" i="12"/>
  <c r="AB747" i="12"/>
  <c r="AB748" i="12"/>
  <c r="AB749" i="12"/>
  <c r="AB750" i="12"/>
  <c r="AB751" i="12"/>
  <c r="AB752" i="12"/>
  <c r="AB753" i="12"/>
  <c r="AB754" i="12"/>
  <c r="AB755" i="12"/>
  <c r="AB756" i="12"/>
  <c r="AB757" i="12"/>
  <c r="AB758" i="12"/>
  <c r="AB759" i="12"/>
  <c r="AB760" i="12"/>
  <c r="AB761" i="12"/>
  <c r="AB762" i="12"/>
  <c r="AB763" i="12"/>
  <c r="AB764" i="12"/>
  <c r="AB765" i="12"/>
  <c r="AB766" i="12"/>
  <c r="AB767" i="12"/>
  <c r="AB768" i="12"/>
  <c r="AB769" i="12"/>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B121" i="14" l="1"/>
  <c r="AH7" i="8"/>
  <c r="AH8" i="8"/>
  <c r="AH9" i="8"/>
  <c r="AH10" i="8"/>
  <c r="AH11" i="8"/>
  <c r="AH12" i="8"/>
  <c r="AH13" i="8"/>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H63" i="8"/>
  <c r="AH64" i="8"/>
  <c r="AH65" i="8"/>
  <c r="AH66" i="8"/>
  <c r="AH67" i="8"/>
  <c r="AH68" i="8"/>
  <c r="AH69" i="8"/>
  <c r="AH70" i="8"/>
  <c r="AH71" i="8"/>
  <c r="AH72" i="8"/>
  <c r="AH73" i="8"/>
  <c r="AH74" i="8"/>
  <c r="AH75" i="8"/>
  <c r="AH76" i="8"/>
  <c r="AH77" i="8"/>
  <c r="AH78" i="8"/>
  <c r="AH79" i="8"/>
  <c r="AH80" i="8"/>
  <c r="AH81" i="8"/>
  <c r="AH82" i="8"/>
  <c r="AH83" i="8"/>
  <c r="AH84" i="8"/>
  <c r="AH85" i="8"/>
  <c r="AH86" i="8"/>
  <c r="AH87" i="8"/>
  <c r="AH88" i="8"/>
  <c r="AH89" i="8"/>
  <c r="AH90" i="8"/>
  <c r="AH91" i="8"/>
  <c r="AH92" i="8"/>
  <c r="AH93" i="8"/>
  <c r="AH94" i="8"/>
  <c r="AH95" i="8"/>
  <c r="AH96" i="8"/>
  <c r="AH97" i="8"/>
  <c r="AH98" i="8"/>
  <c r="AH99" i="8"/>
  <c r="AH100" i="8"/>
  <c r="AH101" i="8"/>
  <c r="AH102" i="8"/>
  <c r="AH103" i="8"/>
  <c r="AH104" i="8"/>
  <c r="AH105" i="8"/>
  <c r="AH106" i="8"/>
  <c r="AH107" i="8"/>
  <c r="AH108" i="8"/>
  <c r="AH109" i="8"/>
  <c r="AH110" i="8"/>
  <c r="AH111" i="8"/>
  <c r="AH112" i="8"/>
  <c r="AH113" i="8"/>
  <c r="AH114" i="8"/>
  <c r="AH115" i="8"/>
  <c r="AH116" i="8"/>
  <c r="AH117" i="8"/>
  <c r="AH118" i="8"/>
  <c r="AH119" i="8"/>
  <c r="AH120" i="8"/>
  <c r="AH121" i="8"/>
  <c r="AH122" i="8"/>
  <c r="AH123" i="8"/>
  <c r="AH124" i="8"/>
  <c r="AH125" i="8"/>
  <c r="AH126" i="8"/>
  <c r="AH127" i="8"/>
  <c r="AH128" i="8"/>
  <c r="AH129" i="8"/>
  <c r="AH130" i="8"/>
  <c r="AH131" i="8"/>
  <c r="AH132" i="8"/>
  <c r="AH133" i="8"/>
  <c r="AH134" i="8"/>
  <c r="AH135" i="8"/>
  <c r="AH136" i="8"/>
  <c r="AH137" i="8"/>
  <c r="AH138" i="8"/>
  <c r="AH139" i="8"/>
  <c r="AH140" i="8"/>
  <c r="AH141" i="8"/>
  <c r="AH142" i="8"/>
  <c r="AH143" i="8"/>
  <c r="AH144" i="8"/>
  <c r="AH145" i="8"/>
  <c r="AH146" i="8"/>
  <c r="AH147" i="8"/>
  <c r="AH148" i="8"/>
  <c r="AH149" i="8"/>
  <c r="AH150" i="8"/>
  <c r="AH151" i="8"/>
  <c r="AH152" i="8"/>
  <c r="AH153" i="8"/>
  <c r="AH154" i="8"/>
  <c r="AH155" i="8"/>
  <c r="AH156" i="8"/>
  <c r="AH157" i="8"/>
  <c r="AH158" i="8"/>
  <c r="AH159" i="8"/>
  <c r="AH160" i="8"/>
  <c r="AH161" i="8"/>
  <c r="AH162" i="8"/>
  <c r="AH163" i="8"/>
  <c r="AH164" i="8"/>
  <c r="AH165" i="8"/>
  <c r="AH166" i="8"/>
  <c r="AH167" i="8"/>
  <c r="AH168" i="8"/>
  <c r="AH169" i="8"/>
  <c r="AH170" i="8"/>
  <c r="AH171" i="8"/>
  <c r="AH172" i="8"/>
  <c r="AH173" i="8"/>
  <c r="AH174" i="8"/>
  <c r="AH175" i="8"/>
  <c r="AH176" i="8"/>
  <c r="AH177" i="8"/>
  <c r="AH178" i="8"/>
  <c r="AH179" i="8"/>
  <c r="AH180" i="8"/>
  <c r="AH181" i="8"/>
  <c r="AH182" i="8"/>
  <c r="AH183" i="8"/>
  <c r="AH184" i="8"/>
  <c r="AH185" i="8"/>
  <c r="AH186" i="8"/>
  <c r="AH187" i="8"/>
  <c r="AH188" i="8"/>
  <c r="AH189" i="8"/>
  <c r="AH190" i="8"/>
  <c r="AH191" i="8"/>
  <c r="AH192" i="8"/>
  <c r="AH193" i="8"/>
  <c r="AH194" i="8"/>
  <c r="AH195" i="8"/>
  <c r="AH196" i="8"/>
  <c r="AH197" i="8"/>
  <c r="AH198" i="8"/>
  <c r="AH199" i="8"/>
  <c r="AH200" i="8"/>
  <c r="AH201" i="8"/>
  <c r="AH202" i="8"/>
  <c r="AH203" i="8"/>
  <c r="AH204" i="8"/>
  <c r="AH205" i="8"/>
  <c r="AH206" i="8"/>
  <c r="AH207" i="8"/>
  <c r="AH208" i="8"/>
  <c r="AH209" i="8"/>
  <c r="AH210" i="8"/>
  <c r="AH211" i="8"/>
  <c r="AH212" i="8"/>
  <c r="AH213" i="8"/>
  <c r="AH214" i="8"/>
  <c r="AH215" i="8"/>
  <c r="AH216" i="8"/>
  <c r="AH217" i="8"/>
  <c r="AH218" i="8"/>
  <c r="AH219" i="8"/>
  <c r="AH220" i="8"/>
  <c r="AH221" i="8"/>
  <c r="AH222" i="8"/>
  <c r="AH223" i="8"/>
  <c r="AH224" i="8"/>
  <c r="AH225" i="8"/>
  <c r="AH226" i="8"/>
  <c r="AH227" i="8"/>
  <c r="AH228" i="8"/>
  <c r="AH229" i="8"/>
  <c r="AH230" i="8"/>
  <c r="AH231" i="8"/>
  <c r="AH232" i="8"/>
  <c r="AH233" i="8"/>
  <c r="AH234" i="8"/>
  <c r="AH235" i="8"/>
  <c r="AH236" i="8"/>
  <c r="AH237" i="8"/>
  <c r="AH238" i="8"/>
  <c r="AH239" i="8"/>
  <c r="AH240" i="8"/>
  <c r="AH241" i="8"/>
  <c r="AH242" i="8"/>
  <c r="AH243" i="8"/>
  <c r="AH244" i="8"/>
  <c r="AH245" i="8"/>
  <c r="AH246" i="8"/>
  <c r="AH247" i="8"/>
  <c r="AH248" i="8"/>
  <c r="AH249" i="8"/>
  <c r="AH250" i="8"/>
  <c r="AH251" i="8"/>
  <c r="AH252" i="8"/>
  <c r="AH253" i="8"/>
  <c r="AH254" i="8"/>
  <c r="AH255" i="8"/>
  <c r="AH256" i="8"/>
  <c r="AH257" i="8"/>
  <c r="AH258" i="8"/>
  <c r="AH259" i="8"/>
  <c r="AH260" i="8"/>
  <c r="AH261" i="8"/>
  <c r="AH262" i="8"/>
  <c r="AH263" i="8"/>
  <c r="AH264" i="8"/>
  <c r="AH265" i="8"/>
  <c r="AH266" i="8"/>
  <c r="AH267" i="8"/>
  <c r="AH268" i="8"/>
  <c r="AH269" i="8"/>
  <c r="AH270" i="8"/>
  <c r="AH271" i="8"/>
  <c r="AH272" i="8"/>
  <c r="AH273" i="8"/>
  <c r="AH274" i="8"/>
  <c r="AH275" i="8"/>
  <c r="AH276" i="8"/>
  <c r="AH277" i="8"/>
  <c r="AH278" i="8"/>
  <c r="AH279" i="8"/>
  <c r="AH280" i="8"/>
  <c r="AH281" i="8"/>
  <c r="AH282" i="8"/>
  <c r="AH283" i="8"/>
  <c r="AH284" i="8"/>
  <c r="AH285" i="8"/>
  <c r="AH286" i="8"/>
  <c r="AH287" i="8"/>
  <c r="AH288" i="8"/>
  <c r="AH289" i="8"/>
  <c r="AH290" i="8"/>
  <c r="AH291" i="8"/>
  <c r="AH292" i="8"/>
  <c r="AH293" i="8"/>
  <c r="AH294" i="8"/>
  <c r="AH295" i="8"/>
  <c r="AH296" i="8"/>
  <c r="AH297" i="8"/>
  <c r="AH298" i="8"/>
  <c r="AH299" i="8"/>
  <c r="AH300" i="8"/>
  <c r="AH301" i="8"/>
  <c r="AH302" i="8"/>
  <c r="AH303" i="8"/>
  <c r="AH304" i="8"/>
  <c r="AH305" i="8"/>
  <c r="AH306" i="8"/>
  <c r="AH307" i="8"/>
  <c r="AH308" i="8"/>
  <c r="AH309" i="8"/>
  <c r="AH310" i="8"/>
  <c r="AH311" i="8"/>
  <c r="AH312" i="8"/>
  <c r="AH313" i="8"/>
  <c r="AH314" i="8"/>
  <c r="AH315" i="8"/>
  <c r="AH316" i="8"/>
  <c r="AH317" i="8"/>
  <c r="AH318" i="8"/>
  <c r="AH319" i="8"/>
  <c r="AH320" i="8"/>
  <c r="AH321" i="8"/>
  <c r="AH322" i="8"/>
  <c r="AH323" i="8"/>
  <c r="AH324" i="8"/>
  <c r="AH325" i="8"/>
  <c r="AH326" i="8"/>
  <c r="AH327" i="8"/>
  <c r="AH328" i="8"/>
  <c r="AH329" i="8"/>
  <c r="AH330" i="8"/>
  <c r="AH331" i="8"/>
  <c r="AH332" i="8"/>
  <c r="AH333" i="8"/>
  <c r="AH334" i="8"/>
  <c r="AH335" i="8"/>
  <c r="AH336" i="8"/>
  <c r="AH337" i="8"/>
  <c r="AH338" i="8"/>
  <c r="AH339" i="8"/>
  <c r="AH340" i="8"/>
  <c r="AH341" i="8"/>
  <c r="AH342" i="8"/>
  <c r="AH343" i="8"/>
  <c r="AH344" i="8"/>
  <c r="AH345" i="8"/>
  <c r="AH346" i="8"/>
  <c r="AH347" i="8"/>
  <c r="AH348" i="8"/>
  <c r="AH349" i="8"/>
  <c r="AH350" i="8"/>
  <c r="AH351" i="8"/>
  <c r="AH352" i="8"/>
  <c r="AH353" i="8"/>
  <c r="AH354" i="8"/>
  <c r="AH355" i="8"/>
  <c r="AH356" i="8"/>
  <c r="AH357" i="8"/>
  <c r="AH358" i="8"/>
  <c r="AH359" i="8"/>
  <c r="AH360" i="8"/>
  <c r="AH361" i="8"/>
  <c r="AH362" i="8"/>
  <c r="AH363" i="8"/>
  <c r="AH364" i="8"/>
  <c r="AH365" i="8"/>
  <c r="AH366" i="8"/>
  <c r="AH367" i="8"/>
  <c r="AH368" i="8"/>
  <c r="AH369" i="8"/>
  <c r="AH370" i="8"/>
  <c r="AH371" i="8"/>
  <c r="AH372" i="8"/>
  <c r="AH373" i="8"/>
  <c r="AH374" i="8"/>
  <c r="AH375" i="8"/>
  <c r="AH376" i="8"/>
  <c r="AH377" i="8"/>
  <c r="AH378" i="8"/>
  <c r="AH379" i="8"/>
  <c r="AH380" i="8"/>
  <c r="AH381" i="8"/>
  <c r="AH382" i="8"/>
  <c r="AH383" i="8"/>
  <c r="AH384" i="8"/>
  <c r="AH385" i="8"/>
  <c r="AH386" i="8"/>
  <c r="AH387" i="8"/>
  <c r="AH388" i="8"/>
  <c r="AH389" i="8"/>
  <c r="AH390" i="8"/>
  <c r="AH391" i="8"/>
  <c r="AH392" i="8"/>
  <c r="AH393" i="8"/>
  <c r="AH394" i="8"/>
  <c r="AH395" i="8"/>
  <c r="AH396" i="8"/>
  <c r="AH397" i="8"/>
  <c r="AH398" i="8"/>
  <c r="AH399" i="8"/>
  <c r="AH400" i="8"/>
  <c r="AH401" i="8"/>
  <c r="AH402" i="8"/>
  <c r="AH403" i="8"/>
  <c r="AH404" i="8"/>
  <c r="AH405" i="8"/>
  <c r="AH406" i="8"/>
  <c r="AH407" i="8"/>
  <c r="AH408" i="8"/>
  <c r="AH409" i="8"/>
  <c r="AH410" i="8"/>
  <c r="AH411" i="8"/>
  <c r="AH412" i="8"/>
  <c r="AH413" i="8"/>
  <c r="AH414" i="8"/>
  <c r="AH415" i="8"/>
  <c r="AH416" i="8"/>
  <c r="AH417" i="8"/>
  <c r="AH418" i="8"/>
  <c r="AH419" i="8"/>
  <c r="AH420" i="8"/>
  <c r="AH421" i="8"/>
  <c r="AH422" i="8"/>
  <c r="AH423" i="8"/>
  <c r="AH424" i="8"/>
  <c r="AH425" i="8"/>
  <c r="AH426" i="8"/>
  <c r="AH427" i="8"/>
  <c r="AH428" i="8"/>
  <c r="AH429" i="8"/>
  <c r="AH430" i="8"/>
  <c r="AH431" i="8"/>
  <c r="AH432" i="8"/>
  <c r="AH433" i="8"/>
  <c r="AH434" i="8"/>
  <c r="AH435" i="8"/>
  <c r="AH436" i="8"/>
  <c r="AH437" i="8"/>
  <c r="AH438" i="8"/>
  <c r="AH439" i="8"/>
  <c r="AH440" i="8"/>
  <c r="AH441" i="8"/>
  <c r="AH442" i="8"/>
  <c r="AH443" i="8"/>
  <c r="AH444" i="8"/>
  <c r="AH445" i="8"/>
  <c r="AH446" i="8"/>
  <c r="AH447" i="8"/>
  <c r="AH448" i="8"/>
  <c r="AH449" i="8"/>
  <c r="AH450" i="8"/>
  <c r="AH451" i="8"/>
  <c r="AH452" i="8"/>
  <c r="AH453" i="8"/>
  <c r="AH454" i="8"/>
  <c r="AH455" i="8"/>
  <c r="AH456" i="8"/>
  <c r="AH457" i="8"/>
  <c r="AH458" i="8"/>
  <c r="AH459" i="8"/>
  <c r="AH460" i="8"/>
  <c r="AH461" i="8"/>
  <c r="AH462" i="8"/>
  <c r="AH463" i="8"/>
  <c r="AH464" i="8"/>
  <c r="AH465" i="8"/>
  <c r="AH466" i="8"/>
  <c r="AH467" i="8"/>
  <c r="AH468" i="8"/>
  <c r="AH469" i="8"/>
  <c r="AH470" i="8"/>
  <c r="AH471" i="8"/>
  <c r="AH472" i="8"/>
  <c r="AH473" i="8"/>
  <c r="AH474" i="8"/>
  <c r="AH475" i="8"/>
  <c r="AH476" i="8"/>
  <c r="AH477" i="8"/>
  <c r="AH478" i="8"/>
  <c r="AH479" i="8"/>
  <c r="AH480" i="8"/>
  <c r="AH481" i="8"/>
  <c r="AH482" i="8"/>
  <c r="AH483" i="8"/>
  <c r="AH484" i="8"/>
  <c r="AH485" i="8"/>
  <c r="AH486" i="8"/>
  <c r="AH487" i="8"/>
  <c r="AH488" i="8"/>
  <c r="AH489" i="8"/>
  <c r="AH490" i="8"/>
  <c r="AH491" i="8"/>
  <c r="AH492" i="8"/>
  <c r="AH493" i="8"/>
  <c r="AH494" i="8"/>
  <c r="AH495" i="8"/>
  <c r="AH496" i="8"/>
  <c r="AH497" i="8"/>
  <c r="AH498" i="8"/>
  <c r="AH499" i="8"/>
  <c r="AH500" i="8"/>
  <c r="AH501" i="8"/>
  <c r="AH502" i="8"/>
  <c r="AH503" i="8"/>
  <c r="AH504" i="8"/>
  <c r="AH505" i="8"/>
  <c r="AH506" i="8"/>
  <c r="AH507" i="8"/>
  <c r="AH508" i="8"/>
  <c r="AH509" i="8"/>
  <c r="AH510" i="8"/>
  <c r="AI8"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82" i="8"/>
  <c r="AI83" i="8"/>
  <c r="AI84" i="8"/>
  <c r="AI85" i="8"/>
  <c r="AI86" i="8"/>
  <c r="AI87" i="8"/>
  <c r="AI88" i="8"/>
  <c r="AI89" i="8"/>
  <c r="AI90" i="8"/>
  <c r="AI91" i="8"/>
  <c r="AI92" i="8"/>
  <c r="AI93" i="8"/>
  <c r="AI94" i="8"/>
  <c r="AI95" i="8"/>
  <c r="AI96" i="8"/>
  <c r="AI97" i="8"/>
  <c r="AI98" i="8"/>
  <c r="AI99" i="8"/>
  <c r="AI100" i="8"/>
  <c r="AI101" i="8"/>
  <c r="AI102" i="8"/>
  <c r="AI103" i="8"/>
  <c r="AI104" i="8"/>
  <c r="AI105" i="8"/>
  <c r="AI106" i="8"/>
  <c r="AI107" i="8"/>
  <c r="AI108" i="8"/>
  <c r="AI109" i="8"/>
  <c r="AI110" i="8"/>
  <c r="AI111" i="8"/>
  <c r="AI112" i="8"/>
  <c r="AI113" i="8"/>
  <c r="AI114" i="8"/>
  <c r="AI115" i="8"/>
  <c r="AI116" i="8"/>
  <c r="AI117" i="8"/>
  <c r="AI118" i="8"/>
  <c r="AI119" i="8"/>
  <c r="AI120" i="8"/>
  <c r="AI121" i="8"/>
  <c r="AI122" i="8"/>
  <c r="AI123" i="8"/>
  <c r="AI124" i="8"/>
  <c r="AI125" i="8"/>
  <c r="AI126" i="8"/>
  <c r="AI127" i="8"/>
  <c r="AI128" i="8"/>
  <c r="AI129" i="8"/>
  <c r="AI130" i="8"/>
  <c r="AI131" i="8"/>
  <c r="AI132" i="8"/>
  <c r="AI133" i="8"/>
  <c r="AI134" i="8"/>
  <c r="AI135" i="8"/>
  <c r="AI136" i="8"/>
  <c r="AI137" i="8"/>
  <c r="AI138" i="8"/>
  <c r="AI139" i="8"/>
  <c r="AI140" i="8"/>
  <c r="AI141" i="8"/>
  <c r="AI142" i="8"/>
  <c r="AI143" i="8"/>
  <c r="AI144" i="8"/>
  <c r="AI145" i="8"/>
  <c r="AI146" i="8"/>
  <c r="AI147" i="8"/>
  <c r="AI148" i="8"/>
  <c r="AI149" i="8"/>
  <c r="AI150" i="8"/>
  <c r="AI151" i="8"/>
  <c r="AI152" i="8"/>
  <c r="AI153" i="8"/>
  <c r="AI154" i="8"/>
  <c r="AI155" i="8"/>
  <c r="AI156" i="8"/>
  <c r="AI157" i="8"/>
  <c r="AI158" i="8"/>
  <c r="AI159" i="8"/>
  <c r="AI160" i="8"/>
  <c r="AI161" i="8"/>
  <c r="AI162" i="8"/>
  <c r="AI163" i="8"/>
  <c r="AI164" i="8"/>
  <c r="AI165" i="8"/>
  <c r="AI166" i="8"/>
  <c r="AI167" i="8"/>
  <c r="AI168" i="8"/>
  <c r="AI169" i="8"/>
  <c r="AI170" i="8"/>
  <c r="AI171" i="8"/>
  <c r="AI172" i="8"/>
  <c r="AI173" i="8"/>
  <c r="AI174" i="8"/>
  <c r="AI175" i="8"/>
  <c r="AI176" i="8"/>
  <c r="AI177" i="8"/>
  <c r="AI178" i="8"/>
  <c r="AI179" i="8"/>
  <c r="AI180" i="8"/>
  <c r="AI181" i="8"/>
  <c r="AI182" i="8"/>
  <c r="AI183" i="8"/>
  <c r="AI184" i="8"/>
  <c r="AI185" i="8"/>
  <c r="AI186" i="8"/>
  <c r="AI187" i="8"/>
  <c r="AI188" i="8"/>
  <c r="AI189" i="8"/>
  <c r="AI190" i="8"/>
  <c r="AI191" i="8"/>
  <c r="AI192" i="8"/>
  <c r="AI193" i="8"/>
  <c r="AI194" i="8"/>
  <c r="AI195" i="8"/>
  <c r="AI196" i="8"/>
  <c r="AI197" i="8"/>
  <c r="AI198" i="8"/>
  <c r="AI199" i="8"/>
  <c r="AI200" i="8"/>
  <c r="AI201" i="8"/>
  <c r="AI202" i="8"/>
  <c r="AI203" i="8"/>
  <c r="AI204" i="8"/>
  <c r="AI205" i="8"/>
  <c r="AI206" i="8"/>
  <c r="AI207" i="8"/>
  <c r="AI208" i="8"/>
  <c r="AI209" i="8"/>
  <c r="AI210" i="8"/>
  <c r="AI211" i="8"/>
  <c r="AI212" i="8"/>
  <c r="AI213" i="8"/>
  <c r="AI214" i="8"/>
  <c r="AI215" i="8"/>
  <c r="AI216" i="8"/>
  <c r="AI217" i="8"/>
  <c r="AI218" i="8"/>
  <c r="AI219" i="8"/>
  <c r="AI220" i="8"/>
  <c r="AI221" i="8"/>
  <c r="AI222" i="8"/>
  <c r="AI223" i="8"/>
  <c r="AI224" i="8"/>
  <c r="AI225" i="8"/>
  <c r="AI226" i="8"/>
  <c r="AI227" i="8"/>
  <c r="AI228" i="8"/>
  <c r="AI229" i="8"/>
  <c r="AI230" i="8"/>
  <c r="AI231" i="8"/>
  <c r="AI232" i="8"/>
  <c r="AI233" i="8"/>
  <c r="AI234" i="8"/>
  <c r="AI235" i="8"/>
  <c r="AI236" i="8"/>
  <c r="AI237" i="8"/>
  <c r="AI238" i="8"/>
  <c r="AI239" i="8"/>
  <c r="AI240" i="8"/>
  <c r="AI241" i="8"/>
  <c r="AI242" i="8"/>
  <c r="AI243" i="8"/>
  <c r="AI244" i="8"/>
  <c r="AI245" i="8"/>
  <c r="AI246" i="8"/>
  <c r="AI247" i="8"/>
  <c r="AI248" i="8"/>
  <c r="AI249" i="8"/>
  <c r="AI250" i="8"/>
  <c r="AI251" i="8"/>
  <c r="AI252" i="8"/>
  <c r="AI253" i="8"/>
  <c r="AI254" i="8"/>
  <c r="AI255" i="8"/>
  <c r="AI256" i="8"/>
  <c r="AI257" i="8"/>
  <c r="AI258" i="8"/>
  <c r="AI259" i="8"/>
  <c r="AI260" i="8"/>
  <c r="AI261" i="8"/>
  <c r="AI262" i="8"/>
  <c r="AI263" i="8"/>
  <c r="AI264" i="8"/>
  <c r="AI265" i="8"/>
  <c r="AI266" i="8"/>
  <c r="AI267" i="8"/>
  <c r="AI268" i="8"/>
  <c r="AI269" i="8"/>
  <c r="AI270" i="8"/>
  <c r="AI271" i="8"/>
  <c r="AI272" i="8"/>
  <c r="AI273" i="8"/>
  <c r="AI274" i="8"/>
  <c r="AI275" i="8"/>
  <c r="AI276" i="8"/>
  <c r="AI277" i="8"/>
  <c r="AI278" i="8"/>
  <c r="AI279" i="8"/>
  <c r="AI280" i="8"/>
  <c r="AI281" i="8"/>
  <c r="AI282" i="8"/>
  <c r="AI283" i="8"/>
  <c r="AI284" i="8"/>
  <c r="AI285" i="8"/>
  <c r="AI286" i="8"/>
  <c r="AI287" i="8"/>
  <c r="AI288" i="8"/>
  <c r="AI289" i="8"/>
  <c r="AI290" i="8"/>
  <c r="AI291" i="8"/>
  <c r="AI292" i="8"/>
  <c r="AI293" i="8"/>
  <c r="AI294" i="8"/>
  <c r="AI295" i="8"/>
  <c r="AI296" i="8"/>
  <c r="AI297" i="8"/>
  <c r="AI298" i="8"/>
  <c r="AI299" i="8"/>
  <c r="AI300" i="8"/>
  <c r="AI301" i="8"/>
  <c r="AI302" i="8"/>
  <c r="AI303" i="8"/>
  <c r="AI304" i="8"/>
  <c r="AI305" i="8"/>
  <c r="AI306" i="8"/>
  <c r="AI307" i="8"/>
  <c r="AI308" i="8"/>
  <c r="AI309" i="8"/>
  <c r="AI310" i="8"/>
  <c r="AI311" i="8"/>
  <c r="AI312" i="8"/>
  <c r="AI313" i="8"/>
  <c r="AI314" i="8"/>
  <c r="AI315" i="8"/>
  <c r="AI316" i="8"/>
  <c r="AI317" i="8"/>
  <c r="AI318" i="8"/>
  <c r="AI319" i="8"/>
  <c r="AI320" i="8"/>
  <c r="AI321" i="8"/>
  <c r="AI322" i="8"/>
  <c r="AI323" i="8"/>
  <c r="AI324" i="8"/>
  <c r="AI325" i="8"/>
  <c r="AI326" i="8"/>
  <c r="AI327" i="8"/>
  <c r="AI328" i="8"/>
  <c r="AI329" i="8"/>
  <c r="AI330" i="8"/>
  <c r="AI331" i="8"/>
  <c r="AI332" i="8"/>
  <c r="AI333" i="8"/>
  <c r="AI334" i="8"/>
  <c r="AI335" i="8"/>
  <c r="AI336" i="8"/>
  <c r="AI337" i="8"/>
  <c r="AI338" i="8"/>
  <c r="AI339" i="8"/>
  <c r="AI340" i="8"/>
  <c r="AI341" i="8"/>
  <c r="AI342" i="8"/>
  <c r="AI343" i="8"/>
  <c r="AI344" i="8"/>
  <c r="AI345" i="8"/>
  <c r="AI346" i="8"/>
  <c r="AI347" i="8"/>
  <c r="AI348" i="8"/>
  <c r="AI349" i="8"/>
  <c r="AI350" i="8"/>
  <c r="AI351" i="8"/>
  <c r="AI352" i="8"/>
  <c r="AI353" i="8"/>
  <c r="AI354" i="8"/>
  <c r="AI355" i="8"/>
  <c r="AI356" i="8"/>
  <c r="AI357" i="8"/>
  <c r="AI358" i="8"/>
  <c r="AI359" i="8"/>
  <c r="AI360" i="8"/>
  <c r="AI361" i="8"/>
  <c r="AI362" i="8"/>
  <c r="AI363" i="8"/>
  <c r="AI364" i="8"/>
  <c r="AI365" i="8"/>
  <c r="AI366" i="8"/>
  <c r="AI367" i="8"/>
  <c r="AI368" i="8"/>
  <c r="AI369" i="8"/>
  <c r="AI370" i="8"/>
  <c r="AI371" i="8"/>
  <c r="AI372" i="8"/>
  <c r="AI373" i="8"/>
  <c r="AI374" i="8"/>
  <c r="AI375" i="8"/>
  <c r="AI376" i="8"/>
  <c r="AI377" i="8"/>
  <c r="AI378" i="8"/>
  <c r="AI379" i="8"/>
  <c r="AI380" i="8"/>
  <c r="AI381" i="8"/>
  <c r="AI382" i="8"/>
  <c r="AI383" i="8"/>
  <c r="AI384" i="8"/>
  <c r="AI385" i="8"/>
  <c r="AI386" i="8"/>
  <c r="AI387" i="8"/>
  <c r="AI388" i="8"/>
  <c r="AI389" i="8"/>
  <c r="AI390" i="8"/>
  <c r="AI391" i="8"/>
  <c r="AI392" i="8"/>
  <c r="AI393" i="8"/>
  <c r="AI394" i="8"/>
  <c r="AI395" i="8"/>
  <c r="AI396" i="8"/>
  <c r="AI397" i="8"/>
  <c r="AI398" i="8"/>
  <c r="AI399" i="8"/>
  <c r="AI400" i="8"/>
  <c r="AI401" i="8"/>
  <c r="AI402" i="8"/>
  <c r="AI403" i="8"/>
  <c r="AI404" i="8"/>
  <c r="AI405" i="8"/>
  <c r="AI406" i="8"/>
  <c r="AI407" i="8"/>
  <c r="AI408" i="8"/>
  <c r="AI409" i="8"/>
  <c r="AI410" i="8"/>
  <c r="AI411" i="8"/>
  <c r="AI412" i="8"/>
  <c r="AI413" i="8"/>
  <c r="AI414" i="8"/>
  <c r="AI415" i="8"/>
  <c r="AI416" i="8"/>
  <c r="AI417" i="8"/>
  <c r="AI418" i="8"/>
  <c r="AI419" i="8"/>
  <c r="AI420" i="8"/>
  <c r="AI421" i="8"/>
  <c r="AI422" i="8"/>
  <c r="AI423" i="8"/>
  <c r="AI424" i="8"/>
  <c r="AI425" i="8"/>
  <c r="AI426" i="8"/>
  <c r="AI427" i="8"/>
  <c r="AI428" i="8"/>
  <c r="AI429" i="8"/>
  <c r="AI430" i="8"/>
  <c r="AI431" i="8"/>
  <c r="AI432" i="8"/>
  <c r="AI433" i="8"/>
  <c r="AI434" i="8"/>
  <c r="AI435" i="8"/>
  <c r="AI436" i="8"/>
  <c r="AI437" i="8"/>
  <c r="AI438" i="8"/>
  <c r="AI439" i="8"/>
  <c r="AI440" i="8"/>
  <c r="AI441" i="8"/>
  <c r="AI442" i="8"/>
  <c r="AI443" i="8"/>
  <c r="AI444" i="8"/>
  <c r="AI445" i="8"/>
  <c r="AI446" i="8"/>
  <c r="AI447" i="8"/>
  <c r="AI448" i="8"/>
  <c r="AI449" i="8"/>
  <c r="AI450" i="8"/>
  <c r="AI451" i="8"/>
  <c r="AI452" i="8"/>
  <c r="AI453" i="8"/>
  <c r="AI454" i="8"/>
  <c r="AI455" i="8"/>
  <c r="AI456" i="8"/>
  <c r="AI457" i="8"/>
  <c r="AI458" i="8"/>
  <c r="AI459" i="8"/>
  <c r="AI460" i="8"/>
  <c r="AI461" i="8"/>
  <c r="AI462" i="8"/>
  <c r="AI463" i="8"/>
  <c r="AI464" i="8"/>
  <c r="AI465" i="8"/>
  <c r="AI466" i="8"/>
  <c r="AI467" i="8"/>
  <c r="AI468" i="8"/>
  <c r="AI469" i="8"/>
  <c r="AI470" i="8"/>
  <c r="AI471" i="8"/>
  <c r="AI472" i="8"/>
  <c r="AI473" i="8"/>
  <c r="AI474" i="8"/>
  <c r="AI475" i="8"/>
  <c r="AI476" i="8"/>
  <c r="AI477" i="8"/>
  <c r="AI478" i="8"/>
  <c r="AI479" i="8"/>
  <c r="AI480" i="8"/>
  <c r="AI481" i="8"/>
  <c r="AI482" i="8"/>
  <c r="AI483" i="8"/>
  <c r="AI484" i="8"/>
  <c r="AI485" i="8"/>
  <c r="AI486" i="8"/>
  <c r="AI487" i="8"/>
  <c r="AI488" i="8"/>
  <c r="AI489" i="8"/>
  <c r="AI490" i="8"/>
  <c r="AI491" i="8"/>
  <c r="AI492" i="8"/>
  <c r="AI493" i="8"/>
  <c r="AI494" i="8"/>
  <c r="AI495" i="8"/>
  <c r="AI496" i="8"/>
  <c r="AI497" i="8"/>
  <c r="AI498" i="8"/>
  <c r="AI499" i="8"/>
  <c r="AI500" i="8"/>
  <c r="AI501" i="8"/>
  <c r="AI502" i="8"/>
  <c r="AI503" i="8"/>
  <c r="AI504" i="8"/>
  <c r="AI505" i="8"/>
  <c r="AI506" i="8"/>
  <c r="AI507" i="8"/>
  <c r="AI508" i="8"/>
  <c r="AI509" i="8"/>
  <c r="AI510"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AA63" i="8"/>
  <c r="AA64" i="8"/>
  <c r="AA65" i="8"/>
  <c r="AA66" i="8"/>
  <c r="AA67" i="8"/>
  <c r="AA68" i="8"/>
  <c r="AA69" i="8"/>
  <c r="AA70" i="8"/>
  <c r="AA71" i="8"/>
  <c r="AA72" i="8"/>
  <c r="AA73" i="8"/>
  <c r="AA74" i="8"/>
  <c r="AA75" i="8"/>
  <c r="AA76" i="8"/>
  <c r="AA77" i="8"/>
  <c r="AA78" i="8"/>
  <c r="AA79" i="8"/>
  <c r="AA80" i="8"/>
  <c r="AA81" i="8"/>
  <c r="AA82" i="8"/>
  <c r="AA83" i="8"/>
  <c r="AA84" i="8"/>
  <c r="AA85" i="8"/>
  <c r="AA86" i="8"/>
  <c r="AA87" i="8"/>
  <c r="AA88" i="8"/>
  <c r="AA89" i="8"/>
  <c r="AA90" i="8"/>
  <c r="AA91" i="8"/>
  <c r="AA92" i="8"/>
  <c r="AA93" i="8"/>
  <c r="AA94" i="8"/>
  <c r="AA95" i="8"/>
  <c r="AA96" i="8"/>
  <c r="AA97" i="8"/>
  <c r="AA98" i="8"/>
  <c r="AA99" i="8"/>
  <c r="AA100" i="8"/>
  <c r="AA101" i="8"/>
  <c r="AA102" i="8"/>
  <c r="AA103" i="8"/>
  <c r="AA104" i="8"/>
  <c r="AA105" i="8"/>
  <c r="AA106" i="8"/>
  <c r="AA107" i="8"/>
  <c r="AA108" i="8"/>
  <c r="AA109" i="8"/>
  <c r="AA110" i="8"/>
  <c r="AA111" i="8"/>
  <c r="AA112" i="8"/>
  <c r="AA113" i="8"/>
  <c r="AA114" i="8"/>
  <c r="AA115" i="8"/>
  <c r="AA116" i="8"/>
  <c r="AA117" i="8"/>
  <c r="AA118" i="8"/>
  <c r="AA119" i="8"/>
  <c r="AA120" i="8"/>
  <c r="AA121" i="8"/>
  <c r="AA122" i="8"/>
  <c r="AA123" i="8"/>
  <c r="AA124" i="8"/>
  <c r="AA125" i="8"/>
  <c r="AA126" i="8"/>
  <c r="AA127" i="8"/>
  <c r="AA128" i="8"/>
  <c r="AA129" i="8"/>
  <c r="AA130" i="8"/>
  <c r="AA131" i="8"/>
  <c r="AA132" i="8"/>
  <c r="AA133" i="8"/>
  <c r="AA134" i="8"/>
  <c r="AA135" i="8"/>
  <c r="AA136" i="8"/>
  <c r="AA137" i="8"/>
  <c r="AA138" i="8"/>
  <c r="AA139" i="8"/>
  <c r="AA140" i="8"/>
  <c r="AA141" i="8"/>
  <c r="AA142" i="8"/>
  <c r="AA143" i="8"/>
  <c r="AA144" i="8"/>
  <c r="AA145" i="8"/>
  <c r="AA146" i="8"/>
  <c r="AA147" i="8"/>
  <c r="AA148" i="8"/>
  <c r="AA149" i="8"/>
  <c r="AA150" i="8"/>
  <c r="AA151" i="8"/>
  <c r="AA152" i="8"/>
  <c r="AA153" i="8"/>
  <c r="AA154" i="8"/>
  <c r="AA155" i="8"/>
  <c r="AA156" i="8"/>
  <c r="AA157" i="8"/>
  <c r="AA158" i="8"/>
  <c r="AA159" i="8"/>
  <c r="AA160" i="8"/>
  <c r="AA161" i="8"/>
  <c r="AA162" i="8"/>
  <c r="AA163" i="8"/>
  <c r="AA164" i="8"/>
  <c r="AA165" i="8"/>
  <c r="AA166" i="8"/>
  <c r="AA167" i="8"/>
  <c r="AA168" i="8"/>
  <c r="AA169" i="8"/>
  <c r="AA170" i="8"/>
  <c r="AA171" i="8"/>
  <c r="AA172" i="8"/>
  <c r="AA173" i="8"/>
  <c r="AA174" i="8"/>
  <c r="AA175" i="8"/>
  <c r="AA176" i="8"/>
  <c r="AA177" i="8"/>
  <c r="AA178" i="8"/>
  <c r="AA179" i="8"/>
  <c r="AA180" i="8"/>
  <c r="AA181" i="8"/>
  <c r="AA182" i="8"/>
  <c r="AA183" i="8"/>
  <c r="AA184" i="8"/>
  <c r="AA185" i="8"/>
  <c r="AA186" i="8"/>
  <c r="AA187" i="8"/>
  <c r="AA188" i="8"/>
  <c r="AA189" i="8"/>
  <c r="AA190" i="8"/>
  <c r="AA191" i="8"/>
  <c r="AA192" i="8"/>
  <c r="AA193" i="8"/>
  <c r="AA194" i="8"/>
  <c r="AA195" i="8"/>
  <c r="AA196" i="8"/>
  <c r="AA197" i="8"/>
  <c r="AA198" i="8"/>
  <c r="AA199" i="8"/>
  <c r="AA200" i="8"/>
  <c r="AA201" i="8"/>
  <c r="AA202" i="8"/>
  <c r="AA203" i="8"/>
  <c r="AA204" i="8"/>
  <c r="AA205" i="8"/>
  <c r="AA206" i="8"/>
  <c r="AA207" i="8"/>
  <c r="AA208" i="8"/>
  <c r="AA209" i="8"/>
  <c r="AA210" i="8"/>
  <c r="AA211" i="8"/>
  <c r="AA212" i="8"/>
  <c r="AA213" i="8"/>
  <c r="AA214" i="8"/>
  <c r="AA215" i="8"/>
  <c r="AA216" i="8"/>
  <c r="AA217" i="8"/>
  <c r="AA218" i="8"/>
  <c r="AA219" i="8"/>
  <c r="AA220" i="8"/>
  <c r="AA221" i="8"/>
  <c r="AA222" i="8"/>
  <c r="AA223" i="8"/>
  <c r="AA224" i="8"/>
  <c r="AA225" i="8"/>
  <c r="AA226" i="8"/>
  <c r="AA227" i="8"/>
  <c r="AA228" i="8"/>
  <c r="AA229" i="8"/>
  <c r="AA230" i="8"/>
  <c r="AA231" i="8"/>
  <c r="AA232" i="8"/>
  <c r="AA233" i="8"/>
  <c r="AA234" i="8"/>
  <c r="AA235" i="8"/>
  <c r="AA236" i="8"/>
  <c r="AA237" i="8"/>
  <c r="AA238" i="8"/>
  <c r="AA239" i="8"/>
  <c r="AA240" i="8"/>
  <c r="AA241" i="8"/>
  <c r="AA242" i="8"/>
  <c r="AA243" i="8"/>
  <c r="AA244" i="8"/>
  <c r="AA245" i="8"/>
  <c r="AA246" i="8"/>
  <c r="AA247" i="8"/>
  <c r="AA248" i="8"/>
  <c r="AA249" i="8"/>
  <c r="AA250" i="8"/>
  <c r="AA251" i="8"/>
  <c r="AA252" i="8"/>
  <c r="AA253" i="8"/>
  <c r="AA254" i="8"/>
  <c r="AA255" i="8"/>
  <c r="AA256" i="8"/>
  <c r="AA257" i="8"/>
  <c r="AA258" i="8"/>
  <c r="AA259" i="8"/>
  <c r="AA260" i="8"/>
  <c r="AA261" i="8"/>
  <c r="AA262" i="8"/>
  <c r="AA263" i="8"/>
  <c r="AA264" i="8"/>
  <c r="AA265" i="8"/>
  <c r="AA266" i="8"/>
  <c r="AA267" i="8"/>
  <c r="AA268" i="8"/>
  <c r="AA269" i="8"/>
  <c r="AA270" i="8"/>
  <c r="AA271" i="8"/>
  <c r="AA272" i="8"/>
  <c r="AA273" i="8"/>
  <c r="AA274" i="8"/>
  <c r="AA275" i="8"/>
  <c r="AA276" i="8"/>
  <c r="AA277" i="8"/>
  <c r="AA278" i="8"/>
  <c r="AA279" i="8"/>
  <c r="AA280" i="8"/>
  <c r="AA281" i="8"/>
  <c r="AA282" i="8"/>
  <c r="AA283" i="8"/>
  <c r="AA284" i="8"/>
  <c r="AA285" i="8"/>
  <c r="AA286" i="8"/>
  <c r="AA287" i="8"/>
  <c r="AA288" i="8"/>
  <c r="AA289" i="8"/>
  <c r="AA290" i="8"/>
  <c r="AA291" i="8"/>
  <c r="AA292" i="8"/>
  <c r="AA293" i="8"/>
  <c r="AA294" i="8"/>
  <c r="AA295" i="8"/>
  <c r="AA296" i="8"/>
  <c r="AA297" i="8"/>
  <c r="AA298" i="8"/>
  <c r="AA299" i="8"/>
  <c r="AA300" i="8"/>
  <c r="AA301" i="8"/>
  <c r="AA302" i="8"/>
  <c r="AA303" i="8"/>
  <c r="AA304" i="8"/>
  <c r="AA305" i="8"/>
  <c r="AA306" i="8"/>
  <c r="AA307" i="8"/>
  <c r="AA308" i="8"/>
  <c r="AA309" i="8"/>
  <c r="AA310" i="8"/>
  <c r="AA311" i="8"/>
  <c r="AA312" i="8"/>
  <c r="AA313" i="8"/>
  <c r="AA314" i="8"/>
  <c r="AA315" i="8"/>
  <c r="AA316" i="8"/>
  <c r="AA317" i="8"/>
  <c r="AA318" i="8"/>
  <c r="AA319" i="8"/>
  <c r="AA320" i="8"/>
  <c r="AA321" i="8"/>
  <c r="AA322" i="8"/>
  <c r="AA323" i="8"/>
  <c r="AA324" i="8"/>
  <c r="AA325" i="8"/>
  <c r="AA326" i="8"/>
  <c r="AA327" i="8"/>
  <c r="AA328" i="8"/>
  <c r="AA329" i="8"/>
  <c r="AA330" i="8"/>
  <c r="AA331" i="8"/>
  <c r="AA332" i="8"/>
  <c r="AA333" i="8"/>
  <c r="AA334" i="8"/>
  <c r="AA335" i="8"/>
  <c r="AA336" i="8"/>
  <c r="AA337" i="8"/>
  <c r="AA338" i="8"/>
  <c r="AA339" i="8"/>
  <c r="AA340" i="8"/>
  <c r="AA341" i="8"/>
  <c r="AA342" i="8"/>
  <c r="AA343" i="8"/>
  <c r="AA344" i="8"/>
  <c r="AA345" i="8"/>
  <c r="AA346" i="8"/>
  <c r="AA347" i="8"/>
  <c r="AA348" i="8"/>
  <c r="AA349" i="8"/>
  <c r="AA350" i="8"/>
  <c r="AA351" i="8"/>
  <c r="AA352" i="8"/>
  <c r="AA353" i="8"/>
  <c r="AA354" i="8"/>
  <c r="AA355" i="8"/>
  <c r="AA356" i="8"/>
  <c r="AA357" i="8"/>
  <c r="AA358" i="8"/>
  <c r="AA359" i="8"/>
  <c r="AA360" i="8"/>
  <c r="AA361" i="8"/>
  <c r="AA362" i="8"/>
  <c r="AA363" i="8"/>
  <c r="AA364" i="8"/>
  <c r="AA365" i="8"/>
  <c r="AA366" i="8"/>
  <c r="AA367" i="8"/>
  <c r="AA368" i="8"/>
  <c r="AA369" i="8"/>
  <c r="AA370" i="8"/>
  <c r="AA371" i="8"/>
  <c r="AA372" i="8"/>
  <c r="AA373" i="8"/>
  <c r="AA374" i="8"/>
  <c r="AA375" i="8"/>
  <c r="AA376" i="8"/>
  <c r="AA377" i="8"/>
  <c r="AA378" i="8"/>
  <c r="AA379" i="8"/>
  <c r="AA380" i="8"/>
  <c r="AA381" i="8"/>
  <c r="AA382" i="8"/>
  <c r="AA383" i="8"/>
  <c r="AA384" i="8"/>
  <c r="AA385" i="8"/>
  <c r="AA386" i="8"/>
  <c r="AA387" i="8"/>
  <c r="AA388" i="8"/>
  <c r="AA389" i="8"/>
  <c r="AA390" i="8"/>
  <c r="AA391" i="8"/>
  <c r="AA392" i="8"/>
  <c r="AA393" i="8"/>
  <c r="AA394" i="8"/>
  <c r="AA395" i="8"/>
  <c r="AA396" i="8"/>
  <c r="AA397" i="8"/>
  <c r="AA398" i="8"/>
  <c r="AA399" i="8"/>
  <c r="AA400" i="8"/>
  <c r="AA401" i="8"/>
  <c r="AA402" i="8"/>
  <c r="AA403" i="8"/>
  <c r="AA404" i="8"/>
  <c r="AA405" i="8"/>
  <c r="AA406" i="8"/>
  <c r="AA407" i="8"/>
  <c r="AA408" i="8"/>
  <c r="AA409" i="8"/>
  <c r="AA410" i="8"/>
  <c r="AA411" i="8"/>
  <c r="AA412" i="8"/>
  <c r="AA413" i="8"/>
  <c r="AA414" i="8"/>
  <c r="AA415" i="8"/>
  <c r="AA416" i="8"/>
  <c r="AA417" i="8"/>
  <c r="AA418" i="8"/>
  <c r="AA419" i="8"/>
  <c r="AA420" i="8"/>
  <c r="AA421" i="8"/>
  <c r="AA422" i="8"/>
  <c r="AA423" i="8"/>
  <c r="AA424" i="8"/>
  <c r="AA425" i="8"/>
  <c r="AA426" i="8"/>
  <c r="AA427" i="8"/>
  <c r="AA428" i="8"/>
  <c r="AA429" i="8"/>
  <c r="AA430" i="8"/>
  <c r="AA431" i="8"/>
  <c r="AA432" i="8"/>
  <c r="AA433" i="8"/>
  <c r="AA434" i="8"/>
  <c r="AA435" i="8"/>
  <c r="AA436" i="8"/>
  <c r="AA437" i="8"/>
  <c r="AA438" i="8"/>
  <c r="AA439" i="8"/>
  <c r="AA440" i="8"/>
  <c r="AA441" i="8"/>
  <c r="AA442" i="8"/>
  <c r="AA443" i="8"/>
  <c r="AA444" i="8"/>
  <c r="AA445" i="8"/>
  <c r="AA446" i="8"/>
  <c r="AA447" i="8"/>
  <c r="AA448" i="8"/>
  <c r="AA449" i="8"/>
  <c r="AA450" i="8"/>
  <c r="AA451" i="8"/>
  <c r="AA452" i="8"/>
  <c r="AA453" i="8"/>
  <c r="AA454" i="8"/>
  <c r="AA455" i="8"/>
  <c r="AA456" i="8"/>
  <c r="AA457" i="8"/>
  <c r="AA458" i="8"/>
  <c r="AA459" i="8"/>
  <c r="AA460" i="8"/>
  <c r="AA461" i="8"/>
  <c r="AA462" i="8"/>
  <c r="AA463" i="8"/>
  <c r="AA464" i="8"/>
  <c r="AA465" i="8"/>
  <c r="AA466" i="8"/>
  <c r="AA467" i="8"/>
  <c r="AA468" i="8"/>
  <c r="AA469" i="8"/>
  <c r="AA470" i="8"/>
  <c r="AA471" i="8"/>
  <c r="AA472" i="8"/>
  <c r="AA473" i="8"/>
  <c r="AA474" i="8"/>
  <c r="AA475" i="8"/>
  <c r="AA476" i="8"/>
  <c r="AA477" i="8"/>
  <c r="AA478" i="8"/>
  <c r="AA479" i="8"/>
  <c r="AA480" i="8"/>
  <c r="AA481" i="8"/>
  <c r="AA482" i="8"/>
  <c r="AA483" i="8"/>
  <c r="AA484" i="8"/>
  <c r="AA485" i="8"/>
  <c r="AA486" i="8"/>
  <c r="AA487" i="8"/>
  <c r="AA488" i="8"/>
  <c r="AA489" i="8"/>
  <c r="AA490" i="8"/>
  <c r="AA491" i="8"/>
  <c r="AA492" i="8"/>
  <c r="AA493" i="8"/>
  <c r="AA494" i="8"/>
  <c r="AA495" i="8"/>
  <c r="AA496" i="8"/>
  <c r="AA497" i="8"/>
  <c r="AA498" i="8"/>
  <c r="AA499" i="8"/>
  <c r="AA500" i="8"/>
  <c r="AA501" i="8"/>
  <c r="AA502" i="8"/>
  <c r="AA503" i="8"/>
  <c r="AA504" i="8"/>
  <c r="AA505" i="8"/>
  <c r="AA506" i="8"/>
  <c r="AA507" i="8"/>
  <c r="AA508" i="8"/>
  <c r="AA509" i="8"/>
  <c r="AA510" i="8"/>
  <c r="AA7" i="8"/>
  <c r="AA8" i="8"/>
  <c r="Y9" i="8"/>
  <c r="AA9" i="8" s="1"/>
  <c r="Y10" i="8"/>
  <c r="AA10" i="8" s="1"/>
  <c r="Y11" i="8"/>
  <c r="AA11" i="8" s="1"/>
  <c r="Y12" i="8"/>
  <c r="AA12" i="8" s="1"/>
  <c r="Y13" i="8"/>
  <c r="AA13" i="8" s="1"/>
  <c r="Y14" i="8"/>
  <c r="AA14" i="8" s="1"/>
  <c r="Y15" i="8"/>
  <c r="AA15" i="8" s="1"/>
  <c r="Y16" i="8"/>
  <c r="AA16" i="8" s="1"/>
  <c r="Y17" i="8"/>
  <c r="AA17" i="8" s="1"/>
  <c r="Y18" i="8"/>
  <c r="AA18" i="8" s="1"/>
  <c r="Y19" i="8"/>
  <c r="AA19" i="8" s="1"/>
  <c r="Y20" i="8"/>
  <c r="AA20" i="8" s="1"/>
  <c r="Y21" i="8"/>
  <c r="AA21" i="8" s="1"/>
  <c r="Y22" i="8"/>
  <c r="AA22" i="8" s="1"/>
  <c r="Y23" i="8"/>
  <c r="AA23" i="8" s="1"/>
  <c r="Y24" i="8"/>
  <c r="AA24" i="8" s="1"/>
  <c r="Y25" i="8"/>
  <c r="AA25" i="8" s="1"/>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Y201" i="8"/>
  <c r="Y202" i="8"/>
  <c r="Y203" i="8"/>
  <c r="Y204" i="8"/>
  <c r="Y205" i="8"/>
  <c r="Y206" i="8"/>
  <c r="Y207" i="8"/>
  <c r="Y208" i="8"/>
  <c r="Y209" i="8"/>
  <c r="Y210" i="8"/>
  <c r="Y211" i="8"/>
  <c r="Y212" i="8"/>
  <c r="Y213" i="8"/>
  <c r="Y214" i="8"/>
  <c r="Y215" i="8"/>
  <c r="Y216" i="8"/>
  <c r="Y217" i="8"/>
  <c r="Y218" i="8"/>
  <c r="Y219" i="8"/>
  <c r="Y220" i="8"/>
  <c r="Y221" i="8"/>
  <c r="Y222" i="8"/>
  <c r="Y223" i="8"/>
  <c r="Y224" i="8"/>
  <c r="Y225" i="8"/>
  <c r="Y226" i="8"/>
  <c r="Y227" i="8"/>
  <c r="Y228" i="8"/>
  <c r="Y229" i="8"/>
  <c r="Y230" i="8"/>
  <c r="Y231" i="8"/>
  <c r="Y232" i="8"/>
  <c r="Y233" i="8"/>
  <c r="Y234" i="8"/>
  <c r="Y235" i="8"/>
  <c r="Y236" i="8"/>
  <c r="Y237" i="8"/>
  <c r="Y238" i="8"/>
  <c r="Y239" i="8"/>
  <c r="Y240" i="8"/>
  <c r="Y241" i="8"/>
  <c r="Y242" i="8"/>
  <c r="Y243" i="8"/>
  <c r="Y244" i="8"/>
  <c r="Y245" i="8"/>
  <c r="Y246" i="8"/>
  <c r="Y247" i="8"/>
  <c r="Y248" i="8"/>
  <c r="Y249" i="8"/>
  <c r="Y250" i="8"/>
  <c r="Y251" i="8"/>
  <c r="Y252" i="8"/>
  <c r="Y253" i="8"/>
  <c r="Y254" i="8"/>
  <c r="Y255" i="8"/>
  <c r="Y256" i="8"/>
  <c r="Y257" i="8"/>
  <c r="Y258" i="8"/>
  <c r="Y259" i="8"/>
  <c r="Y260" i="8"/>
  <c r="Y261" i="8"/>
  <c r="Y262" i="8"/>
  <c r="Y263" i="8"/>
  <c r="Y264" i="8"/>
  <c r="Y265" i="8"/>
  <c r="Y266" i="8"/>
  <c r="Y267" i="8"/>
  <c r="Y268" i="8"/>
  <c r="Y269" i="8"/>
  <c r="Y270" i="8"/>
  <c r="Y271" i="8"/>
  <c r="Y272" i="8"/>
  <c r="Y273" i="8"/>
  <c r="Y274" i="8"/>
  <c r="Y275" i="8"/>
  <c r="Y276" i="8"/>
  <c r="Y277" i="8"/>
  <c r="Y278" i="8"/>
  <c r="Y279" i="8"/>
  <c r="Y280" i="8"/>
  <c r="Y281" i="8"/>
  <c r="Y282" i="8"/>
  <c r="Y283" i="8"/>
  <c r="Y284" i="8"/>
  <c r="Y285" i="8"/>
  <c r="Y286" i="8"/>
  <c r="Y287" i="8"/>
  <c r="Y288" i="8"/>
  <c r="Y289" i="8"/>
  <c r="Y290" i="8"/>
  <c r="Y291" i="8"/>
  <c r="Y292" i="8"/>
  <c r="Y293" i="8"/>
  <c r="Y294" i="8"/>
  <c r="Y295" i="8"/>
  <c r="Y296" i="8"/>
  <c r="Y297" i="8"/>
  <c r="Y298" i="8"/>
  <c r="Y299" i="8"/>
  <c r="Y300" i="8"/>
  <c r="Y301" i="8"/>
  <c r="Y302" i="8"/>
  <c r="Y303" i="8"/>
  <c r="Y304" i="8"/>
  <c r="Y305" i="8"/>
  <c r="Y306" i="8"/>
  <c r="Y307" i="8"/>
  <c r="Y308" i="8"/>
  <c r="Y309" i="8"/>
  <c r="Y310" i="8"/>
  <c r="Y311" i="8"/>
  <c r="Y312" i="8"/>
  <c r="Y313" i="8"/>
  <c r="Y314" i="8"/>
  <c r="Y315" i="8"/>
  <c r="Y316" i="8"/>
  <c r="Y317" i="8"/>
  <c r="Y318" i="8"/>
  <c r="Y319" i="8"/>
  <c r="Y320" i="8"/>
  <c r="Y321" i="8"/>
  <c r="Y322" i="8"/>
  <c r="Y323" i="8"/>
  <c r="Y324" i="8"/>
  <c r="Y325" i="8"/>
  <c r="Y326" i="8"/>
  <c r="Y327" i="8"/>
  <c r="Y328" i="8"/>
  <c r="Y329" i="8"/>
  <c r="Y330" i="8"/>
  <c r="Y331" i="8"/>
  <c r="Y332" i="8"/>
  <c r="Y333" i="8"/>
  <c r="Y334" i="8"/>
  <c r="Y335" i="8"/>
  <c r="Y336" i="8"/>
  <c r="Y337" i="8"/>
  <c r="Y338" i="8"/>
  <c r="Y339" i="8"/>
  <c r="Y340" i="8"/>
  <c r="Y341" i="8"/>
  <c r="Y342" i="8"/>
  <c r="Y343" i="8"/>
  <c r="Y344" i="8"/>
  <c r="Y345" i="8"/>
  <c r="Y346" i="8"/>
  <c r="Y347" i="8"/>
  <c r="Y348" i="8"/>
  <c r="Y349" i="8"/>
  <c r="Y350" i="8"/>
  <c r="Y351" i="8"/>
  <c r="Y352" i="8"/>
  <c r="Y353" i="8"/>
  <c r="Y354" i="8"/>
  <c r="Y355" i="8"/>
  <c r="Y356" i="8"/>
  <c r="Y357" i="8"/>
  <c r="Y358" i="8"/>
  <c r="Y359" i="8"/>
  <c r="Y360" i="8"/>
  <c r="Y361" i="8"/>
  <c r="Y362" i="8"/>
  <c r="Y363" i="8"/>
  <c r="Y364" i="8"/>
  <c r="Y365" i="8"/>
  <c r="Y366" i="8"/>
  <c r="Y367" i="8"/>
  <c r="Y368" i="8"/>
  <c r="Y369" i="8"/>
  <c r="Y370" i="8"/>
  <c r="Y371" i="8"/>
  <c r="Y372" i="8"/>
  <c r="Y373" i="8"/>
  <c r="Y374" i="8"/>
  <c r="Y375" i="8"/>
  <c r="Y376" i="8"/>
  <c r="Y377" i="8"/>
  <c r="Y378" i="8"/>
  <c r="Y379" i="8"/>
  <c r="Y380" i="8"/>
  <c r="Y381" i="8"/>
  <c r="Y382" i="8"/>
  <c r="Y383" i="8"/>
  <c r="Y384" i="8"/>
  <c r="Y385" i="8"/>
  <c r="Y386" i="8"/>
  <c r="Y387" i="8"/>
  <c r="Y388" i="8"/>
  <c r="Y389" i="8"/>
  <c r="Y390" i="8"/>
  <c r="Y391" i="8"/>
  <c r="Y392" i="8"/>
  <c r="Y393" i="8"/>
  <c r="Y394" i="8"/>
  <c r="Y395" i="8"/>
  <c r="Y396" i="8"/>
  <c r="Y397" i="8"/>
  <c r="Y398" i="8"/>
  <c r="Y399" i="8"/>
  <c r="Y400" i="8"/>
  <c r="Y401" i="8"/>
  <c r="Y402" i="8"/>
  <c r="Y403" i="8"/>
  <c r="Y404" i="8"/>
  <c r="Y405" i="8"/>
  <c r="Y406" i="8"/>
  <c r="Y407" i="8"/>
  <c r="Y408" i="8"/>
  <c r="Y409" i="8"/>
  <c r="Y410" i="8"/>
  <c r="Y411" i="8"/>
  <c r="Y412" i="8"/>
  <c r="Y413" i="8"/>
  <c r="Y414" i="8"/>
  <c r="Y415" i="8"/>
  <c r="Y416" i="8"/>
  <c r="Y417" i="8"/>
  <c r="Y418" i="8"/>
  <c r="Y419" i="8"/>
  <c r="Y420" i="8"/>
  <c r="Y421" i="8"/>
  <c r="Y422" i="8"/>
  <c r="Y423" i="8"/>
  <c r="Y424" i="8"/>
  <c r="Y425" i="8"/>
  <c r="Y426" i="8"/>
  <c r="Y427" i="8"/>
  <c r="Y428" i="8"/>
  <c r="Y429" i="8"/>
  <c r="Y430" i="8"/>
  <c r="Y431" i="8"/>
  <c r="Y432" i="8"/>
  <c r="Y433" i="8"/>
  <c r="Y434" i="8"/>
  <c r="Y435" i="8"/>
  <c r="Y436" i="8"/>
  <c r="Y437" i="8"/>
  <c r="Y438" i="8"/>
  <c r="Y439" i="8"/>
  <c r="Y440" i="8"/>
  <c r="Y441" i="8"/>
  <c r="Y442" i="8"/>
  <c r="Y443" i="8"/>
  <c r="Y444" i="8"/>
  <c r="Y445" i="8"/>
  <c r="Y446" i="8"/>
  <c r="Y447" i="8"/>
  <c r="Y448" i="8"/>
  <c r="Y449" i="8"/>
  <c r="Y450" i="8"/>
  <c r="Y451" i="8"/>
  <c r="Y452" i="8"/>
  <c r="Y453" i="8"/>
  <c r="Y454" i="8"/>
  <c r="Y455" i="8"/>
  <c r="Y456" i="8"/>
  <c r="Y457" i="8"/>
  <c r="Y458" i="8"/>
  <c r="Y459" i="8"/>
  <c r="Y460" i="8"/>
  <c r="Y461" i="8"/>
  <c r="Y462" i="8"/>
  <c r="Y463" i="8"/>
  <c r="Y464" i="8"/>
  <c r="Y465" i="8"/>
  <c r="Y466" i="8"/>
  <c r="Y467" i="8"/>
  <c r="Y468" i="8"/>
  <c r="Y469" i="8"/>
  <c r="Y470" i="8"/>
  <c r="Y471" i="8"/>
  <c r="Y472" i="8"/>
  <c r="Y473" i="8"/>
  <c r="Y474" i="8"/>
  <c r="Y475" i="8"/>
  <c r="Y476" i="8"/>
  <c r="Y477" i="8"/>
  <c r="Y478" i="8"/>
  <c r="Y479" i="8"/>
  <c r="Y480" i="8"/>
  <c r="Y481" i="8"/>
  <c r="Y482" i="8"/>
  <c r="Y483" i="8"/>
  <c r="Y484" i="8"/>
  <c r="Y485" i="8"/>
  <c r="Y486" i="8"/>
  <c r="Y487" i="8"/>
  <c r="Y488" i="8"/>
  <c r="Y489" i="8"/>
  <c r="Y490" i="8"/>
  <c r="Y491" i="8"/>
  <c r="Y492" i="8"/>
  <c r="Y493" i="8"/>
  <c r="Y494" i="8"/>
  <c r="Y495" i="8"/>
  <c r="Y496" i="8"/>
  <c r="Y497" i="8"/>
  <c r="Y498" i="8"/>
  <c r="Y499" i="8"/>
  <c r="Y500" i="8"/>
  <c r="Y501" i="8"/>
  <c r="Y502" i="8"/>
  <c r="Y503" i="8"/>
  <c r="Y504" i="8"/>
  <c r="Y505" i="8"/>
  <c r="Y506" i="8"/>
  <c r="Y507" i="8"/>
  <c r="Y508" i="8"/>
  <c r="Y509" i="8"/>
  <c r="Y510" i="8"/>
  <c r="B123" i="14" l="1"/>
  <c r="B122" i="14"/>
  <c r="C34" i="4"/>
  <c r="C31" i="4"/>
  <c r="E30" i="15"/>
  <c r="E29" i="15"/>
  <c r="F27" i="15"/>
  <c r="F26" i="15"/>
  <c r="F29" i="15" s="1"/>
  <c r="F25" i="15"/>
  <c r="F30" i="15" l="1"/>
  <c r="C17" i="14" s="1"/>
  <c r="C16" i="14"/>
  <c r="C14" i="14"/>
  <c r="C68" i="15"/>
  <c r="Z10" i="12"/>
  <c r="B8" i="12"/>
  <c r="B7" i="12"/>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8" i="8"/>
  <c r="B7" i="8"/>
  <c r="F68" i="15" l="1"/>
  <c r="AP1" i="2"/>
  <c r="E8" i="10" l="1"/>
  <c r="C9" i="10"/>
  <c r="E9" i="10"/>
  <c r="F5" i="10"/>
  <c r="D5" i="10"/>
  <c r="D6" i="10" s="1"/>
  <c r="E19" i="10"/>
  <c r="E18" i="10"/>
  <c r="E17" i="10"/>
  <c r="E7" i="10"/>
  <c r="E6" i="10"/>
  <c r="E15" i="10"/>
  <c r="D7" i="10" l="1"/>
  <c r="D9" i="10" s="1"/>
  <c r="D10" i="10" s="1"/>
  <c r="D11" i="10" s="1"/>
  <c r="D12" i="10" s="1"/>
  <c r="D13" i="10" s="1"/>
  <c r="F6" i="10"/>
  <c r="F7" i="10" l="1"/>
  <c r="F8" i="10" s="1"/>
  <c r="F9" i="10" s="1"/>
  <c r="F10" i="10" s="1"/>
  <c r="F11" i="10" s="1"/>
  <c r="F12" i="10" s="1"/>
  <c r="F13" i="10" s="1"/>
  <c r="F14" i="10" s="1"/>
  <c r="F15" i="10" s="1"/>
  <c r="F16" i="10" s="1"/>
  <c r="F17" i="10" s="1"/>
  <c r="F18" i="10" s="1"/>
  <c r="F19" i="10" s="1"/>
  <c r="F20" i="10" s="1"/>
  <c r="F21" i="10" s="1"/>
  <c r="P15" i="12" s="1"/>
  <c r="H207" i="15"/>
  <c r="D112" i="15"/>
  <c r="C164" i="15"/>
  <c r="E164" i="15"/>
  <c r="F164" i="15"/>
  <c r="C165" i="15"/>
  <c r="E165" i="15"/>
  <c r="F165" i="15"/>
  <c r="C166" i="15"/>
  <c r="E166" i="15"/>
  <c r="F166" i="15"/>
  <c r="C167" i="15"/>
  <c r="E167" i="15"/>
  <c r="F167" i="15"/>
  <c r="F136" i="15"/>
  <c r="F137" i="15"/>
  <c r="F138" i="15"/>
  <c r="F139" i="15"/>
  <c r="F140" i="15"/>
  <c r="F141" i="15"/>
  <c r="E136" i="15"/>
  <c r="E137" i="15"/>
  <c r="E138" i="15"/>
  <c r="E139" i="15"/>
  <c r="E140" i="15"/>
  <c r="E141" i="15"/>
  <c r="F255" i="15"/>
  <c r="F256" i="15"/>
  <c r="F257" i="15"/>
  <c r="F258" i="15"/>
  <c r="E255" i="15"/>
  <c r="E256" i="15"/>
  <c r="E257" i="15"/>
  <c r="E258" i="15"/>
  <c r="D255" i="15"/>
  <c r="D256" i="15"/>
  <c r="D257" i="15"/>
  <c r="D258" i="15"/>
  <c r="C255" i="15"/>
  <c r="C256" i="15"/>
  <c r="C257" i="15"/>
  <c r="C258" i="15"/>
  <c r="C236" i="15"/>
  <c r="P576" i="12" l="1"/>
  <c r="P513" i="12"/>
  <c r="P686" i="12"/>
  <c r="P458" i="12"/>
  <c r="P254" i="12"/>
  <c r="P14" i="12"/>
  <c r="P529" i="12"/>
  <c r="P313" i="12"/>
  <c r="P49" i="12"/>
  <c r="P540" i="12"/>
  <c r="P731" i="12"/>
  <c r="P680" i="12"/>
  <c r="P726" i="12"/>
  <c r="P700" i="12"/>
  <c r="P325" i="12"/>
  <c r="P769" i="12"/>
  <c r="P536" i="12"/>
  <c r="P556" i="12"/>
  <c r="P553" i="12"/>
  <c r="P446" i="12"/>
  <c r="P587" i="12"/>
  <c r="P422" i="12"/>
  <c r="P206" i="12"/>
  <c r="P757" i="12"/>
  <c r="P505" i="12"/>
  <c r="P241" i="12"/>
  <c r="P25" i="12"/>
  <c r="P516" i="12"/>
  <c r="P443" i="12"/>
  <c r="P392" i="12"/>
  <c r="P438" i="12"/>
  <c r="P412" i="12"/>
  <c r="P26" i="12"/>
  <c r="P230" i="12"/>
  <c r="P582" i="12"/>
  <c r="P614" i="12"/>
  <c r="P410" i="12"/>
  <c r="P182" i="12"/>
  <c r="P745" i="12"/>
  <c r="P481" i="12"/>
  <c r="P229" i="12"/>
  <c r="P756" i="12"/>
  <c r="P468" i="12"/>
  <c r="P299" i="12"/>
  <c r="P248" i="12"/>
  <c r="P294" i="12"/>
  <c r="P268" i="12"/>
  <c r="P602" i="12"/>
  <c r="P398" i="12"/>
  <c r="P170" i="12"/>
  <c r="P697" i="12"/>
  <c r="P469" i="12"/>
  <c r="P217" i="12"/>
  <c r="P732" i="12"/>
  <c r="P432" i="12"/>
  <c r="P155" i="12"/>
  <c r="P104" i="12"/>
  <c r="P150" i="12"/>
  <c r="P124" i="12"/>
  <c r="P698" i="12"/>
  <c r="P321" i="12"/>
  <c r="P265" i="12"/>
  <c r="P638" i="12"/>
  <c r="P741" i="12"/>
  <c r="P590" i="12"/>
  <c r="P374" i="12"/>
  <c r="P158" i="12"/>
  <c r="P673" i="12"/>
  <c r="P457" i="12"/>
  <c r="P193" i="12"/>
  <c r="P720" i="12"/>
  <c r="P396" i="12"/>
  <c r="P11" i="12"/>
  <c r="P525" i="12"/>
  <c r="P669" i="12"/>
  <c r="P537" i="12"/>
  <c r="P73" i="12"/>
  <c r="P517" i="12"/>
  <c r="P770" i="12"/>
  <c r="P566" i="12"/>
  <c r="P350" i="12"/>
  <c r="P134" i="12"/>
  <c r="P661" i="12"/>
  <c r="P409" i="12"/>
  <c r="P181" i="12"/>
  <c r="P708" i="12"/>
  <c r="P384" i="12"/>
  <c r="P646" i="12"/>
  <c r="P727" i="12"/>
  <c r="P701" i="12"/>
  <c r="P723" i="12"/>
  <c r="P326" i="12"/>
  <c r="P122" i="12"/>
  <c r="P649" i="12"/>
  <c r="P385" i="12"/>
  <c r="P169" i="12"/>
  <c r="P684" i="12"/>
  <c r="P372" i="12"/>
  <c r="P502" i="12"/>
  <c r="P583" i="12"/>
  <c r="P557" i="12"/>
  <c r="P579" i="12"/>
  <c r="P96" i="12"/>
  <c r="P528" i="12"/>
  <c r="P746" i="12"/>
  <c r="P542" i="12"/>
  <c r="P314" i="12"/>
  <c r="P110" i="12"/>
  <c r="P625" i="12"/>
  <c r="P373" i="12"/>
  <c r="P121" i="12"/>
  <c r="P672" i="12"/>
  <c r="P324" i="12"/>
  <c r="P358" i="12"/>
  <c r="P439" i="12"/>
  <c r="P413" i="12"/>
  <c r="P435" i="12"/>
  <c r="P470" i="12"/>
  <c r="P753" i="12"/>
  <c r="P37" i="12"/>
  <c r="P554" i="12"/>
  <c r="P734" i="12"/>
  <c r="P518" i="12"/>
  <c r="P302" i="12"/>
  <c r="P62" i="12"/>
  <c r="P613" i="12"/>
  <c r="P361" i="12"/>
  <c r="P97" i="12"/>
  <c r="P660" i="12"/>
  <c r="P240" i="12"/>
  <c r="P214" i="12"/>
  <c r="P295" i="12"/>
  <c r="P269" i="12"/>
  <c r="P291" i="12"/>
  <c r="P266" i="12"/>
  <c r="P662" i="12"/>
  <c r="P758" i="12"/>
  <c r="P710" i="12"/>
  <c r="P494" i="12"/>
  <c r="P278" i="12"/>
  <c r="P38" i="12"/>
  <c r="P601" i="12"/>
  <c r="P337" i="12"/>
  <c r="P85" i="12"/>
  <c r="P612" i="12"/>
  <c r="P180" i="12"/>
  <c r="P70" i="12"/>
  <c r="P151" i="12"/>
  <c r="P125" i="12"/>
  <c r="P147" i="12"/>
  <c r="P228" i="12"/>
  <c r="P84" i="12"/>
  <c r="P719" i="12"/>
  <c r="P575" i="12"/>
  <c r="P431" i="12"/>
  <c r="P287" i="12"/>
  <c r="P143" i="12"/>
  <c r="P705" i="12"/>
  <c r="P634" i="12"/>
  <c r="P490" i="12"/>
  <c r="P346" i="12"/>
  <c r="P202" i="12"/>
  <c r="P58" i="12"/>
  <c r="P249" i="12"/>
  <c r="P668" i="12"/>
  <c r="P524" i="12"/>
  <c r="P380" i="12"/>
  <c r="P236" i="12"/>
  <c r="P92" i="12"/>
  <c r="P477" i="12"/>
  <c r="P715" i="12"/>
  <c r="P571" i="12"/>
  <c r="P427" i="12"/>
  <c r="P283" i="12"/>
  <c r="P139" i="12"/>
  <c r="P621" i="12"/>
  <c r="P714" i="12"/>
  <c r="P570" i="12"/>
  <c r="P426" i="12"/>
  <c r="P282" i="12"/>
  <c r="P138" i="12"/>
  <c r="P561" i="12"/>
  <c r="P689" i="12"/>
  <c r="P545" i="12"/>
  <c r="P401" i="12"/>
  <c r="P257" i="12"/>
  <c r="P113" i="12"/>
  <c r="P441" i="12"/>
  <c r="P688" i="12"/>
  <c r="P544" i="12"/>
  <c r="P400" i="12"/>
  <c r="P256" i="12"/>
  <c r="P112" i="12"/>
  <c r="P489" i="12"/>
  <c r="P711" i="12"/>
  <c r="P567" i="12"/>
  <c r="P423" i="12"/>
  <c r="P279" i="12"/>
  <c r="P135" i="12"/>
  <c r="P674" i="12"/>
  <c r="P530" i="12"/>
  <c r="P386" i="12"/>
  <c r="P242" i="12"/>
  <c r="P98" i="12"/>
  <c r="P733" i="12"/>
  <c r="P589" i="12"/>
  <c r="P445" i="12"/>
  <c r="P301" i="12"/>
  <c r="P157" i="12"/>
  <c r="P13" i="12"/>
  <c r="P648" i="12"/>
  <c r="P504" i="12"/>
  <c r="P360" i="12"/>
  <c r="P216" i="12"/>
  <c r="P72" i="12"/>
  <c r="P707" i="12"/>
  <c r="P563" i="12"/>
  <c r="P419" i="12"/>
  <c r="P275" i="12"/>
  <c r="P131" i="12"/>
  <c r="P766" i="12"/>
  <c r="P622" i="12"/>
  <c r="P478" i="12"/>
  <c r="P334" i="12"/>
  <c r="P190" i="12"/>
  <c r="P46" i="12"/>
  <c r="P189" i="12"/>
  <c r="P656" i="12"/>
  <c r="P512" i="12"/>
  <c r="P368" i="12"/>
  <c r="P224" i="12"/>
  <c r="P80" i="12"/>
  <c r="P405" i="12"/>
  <c r="P703" i="12"/>
  <c r="P559" i="12"/>
  <c r="P415" i="12"/>
  <c r="P271" i="12"/>
  <c r="P127" i="12"/>
  <c r="P549" i="12"/>
  <c r="P702" i="12"/>
  <c r="P558" i="12"/>
  <c r="P414" i="12"/>
  <c r="P270" i="12"/>
  <c r="P126" i="12"/>
  <c r="P465" i="12"/>
  <c r="P677" i="12"/>
  <c r="P533" i="12"/>
  <c r="P389" i="12"/>
  <c r="P245" i="12"/>
  <c r="P101" i="12"/>
  <c r="P381" i="12"/>
  <c r="P676" i="12"/>
  <c r="P532" i="12"/>
  <c r="P388" i="12"/>
  <c r="P244" i="12"/>
  <c r="P100" i="12"/>
  <c r="P417" i="12"/>
  <c r="P699" i="12"/>
  <c r="P555" i="12"/>
  <c r="P411" i="12"/>
  <c r="P267" i="12"/>
  <c r="P123" i="12"/>
  <c r="P86" i="12"/>
  <c r="P721" i="12"/>
  <c r="P577" i="12"/>
  <c r="P433" i="12"/>
  <c r="P289" i="12"/>
  <c r="P145" i="12"/>
  <c r="P693" i="12"/>
  <c r="P636" i="12"/>
  <c r="P492" i="12"/>
  <c r="P348" i="12"/>
  <c r="P204" i="12"/>
  <c r="P60" i="12"/>
  <c r="P695" i="12"/>
  <c r="P551" i="12"/>
  <c r="P407" i="12"/>
  <c r="P263" i="12"/>
  <c r="P119" i="12"/>
  <c r="P754" i="12"/>
  <c r="P610" i="12"/>
  <c r="P466" i="12"/>
  <c r="P322" i="12"/>
  <c r="P178" i="12"/>
  <c r="P34" i="12"/>
  <c r="P117" i="12"/>
  <c r="P644" i="12"/>
  <c r="P500" i="12"/>
  <c r="P356" i="12"/>
  <c r="P212" i="12"/>
  <c r="P68" i="12"/>
  <c r="P345" i="12"/>
  <c r="P691" i="12"/>
  <c r="P547" i="12"/>
  <c r="P403" i="12"/>
  <c r="P259" i="12"/>
  <c r="P115" i="12"/>
  <c r="P453" i="12"/>
  <c r="P690" i="12"/>
  <c r="P546" i="12"/>
  <c r="P402" i="12"/>
  <c r="P258" i="12"/>
  <c r="P114" i="12"/>
  <c r="P369" i="12"/>
  <c r="P665" i="12"/>
  <c r="P521" i="12"/>
  <c r="P377" i="12"/>
  <c r="P233" i="12"/>
  <c r="P89" i="12"/>
  <c r="P297" i="12"/>
  <c r="P664" i="12"/>
  <c r="P520" i="12"/>
  <c r="P376" i="12"/>
  <c r="P232" i="12"/>
  <c r="P88" i="12"/>
  <c r="P333" i="12"/>
  <c r="P687" i="12"/>
  <c r="P543" i="12"/>
  <c r="P399" i="12"/>
  <c r="P255" i="12"/>
  <c r="P111" i="12"/>
  <c r="P650" i="12"/>
  <c r="P506" i="12"/>
  <c r="P362" i="12"/>
  <c r="P218" i="12"/>
  <c r="P74" i="12"/>
  <c r="P709" i="12"/>
  <c r="P565" i="12"/>
  <c r="P421" i="12"/>
  <c r="P277" i="12"/>
  <c r="P133" i="12"/>
  <c r="P768" i="12"/>
  <c r="P624" i="12"/>
  <c r="P480" i="12"/>
  <c r="P336" i="12"/>
  <c r="P192" i="12"/>
  <c r="P48" i="12"/>
  <c r="P683" i="12"/>
  <c r="P539" i="12"/>
  <c r="P395" i="12"/>
  <c r="P251" i="12"/>
  <c r="P107" i="12"/>
  <c r="P742" i="12"/>
  <c r="P598" i="12"/>
  <c r="P454" i="12"/>
  <c r="P310" i="12"/>
  <c r="P166" i="12"/>
  <c r="P22" i="12"/>
  <c r="P81" i="12"/>
  <c r="P632" i="12"/>
  <c r="P488" i="12"/>
  <c r="P344" i="12"/>
  <c r="P200" i="12"/>
  <c r="P56" i="12"/>
  <c r="P285" i="12"/>
  <c r="P679" i="12"/>
  <c r="P535" i="12"/>
  <c r="P391" i="12"/>
  <c r="P247" i="12"/>
  <c r="P103" i="12"/>
  <c r="P357" i="12"/>
  <c r="P678" i="12"/>
  <c r="P534" i="12"/>
  <c r="P390" i="12"/>
  <c r="P246" i="12"/>
  <c r="P102" i="12"/>
  <c r="P261" i="12"/>
  <c r="P653" i="12"/>
  <c r="P509" i="12"/>
  <c r="P365" i="12"/>
  <c r="P221" i="12"/>
  <c r="P77" i="12"/>
  <c r="P201" i="12"/>
  <c r="P652" i="12"/>
  <c r="P508" i="12"/>
  <c r="P364" i="12"/>
  <c r="P220" i="12"/>
  <c r="P76" i="12"/>
  <c r="P273" i="12"/>
  <c r="P675" i="12"/>
  <c r="P531" i="12"/>
  <c r="P387" i="12"/>
  <c r="P243" i="12"/>
  <c r="P99" i="12"/>
  <c r="P36" i="12"/>
  <c r="P671" i="12"/>
  <c r="P527" i="12"/>
  <c r="P383" i="12"/>
  <c r="P239" i="12"/>
  <c r="P95" i="12"/>
  <c r="P730" i="12"/>
  <c r="P586" i="12"/>
  <c r="P442" i="12"/>
  <c r="P298" i="12"/>
  <c r="P154" i="12"/>
  <c r="P10" i="12"/>
  <c r="P764" i="12"/>
  <c r="P620" i="12"/>
  <c r="P476" i="12"/>
  <c r="P332" i="12"/>
  <c r="P188" i="12"/>
  <c r="P44" i="12"/>
  <c r="P225" i="12"/>
  <c r="P667" i="12"/>
  <c r="P523" i="12"/>
  <c r="P379" i="12"/>
  <c r="P235" i="12"/>
  <c r="P91" i="12"/>
  <c r="P309" i="12"/>
  <c r="P666" i="12"/>
  <c r="P522" i="12"/>
  <c r="P378" i="12"/>
  <c r="P234" i="12"/>
  <c r="P90" i="12"/>
  <c r="P177" i="12"/>
  <c r="P641" i="12"/>
  <c r="P497" i="12"/>
  <c r="P353" i="12"/>
  <c r="P209" i="12"/>
  <c r="P65" i="12"/>
  <c r="P129" i="12"/>
  <c r="P640" i="12"/>
  <c r="P496" i="12"/>
  <c r="P352" i="12"/>
  <c r="P208" i="12"/>
  <c r="P64" i="12"/>
  <c r="P237" i="12"/>
  <c r="P663" i="12"/>
  <c r="P519" i="12"/>
  <c r="P375" i="12"/>
  <c r="P231" i="12"/>
  <c r="P87" i="12"/>
  <c r="P626" i="12"/>
  <c r="P482" i="12"/>
  <c r="P338" i="12"/>
  <c r="P194" i="12"/>
  <c r="P50" i="12"/>
  <c r="P685" i="12"/>
  <c r="P541" i="12"/>
  <c r="P397" i="12"/>
  <c r="P253" i="12"/>
  <c r="P109" i="12"/>
  <c r="P744" i="12"/>
  <c r="P600" i="12"/>
  <c r="P456" i="12"/>
  <c r="P312" i="12"/>
  <c r="P168" i="12"/>
  <c r="P24" i="12"/>
  <c r="P659" i="12"/>
  <c r="P515" i="12"/>
  <c r="P371" i="12"/>
  <c r="P227" i="12"/>
  <c r="P83" i="12"/>
  <c r="P718" i="12"/>
  <c r="P574" i="12"/>
  <c r="P430" i="12"/>
  <c r="P286" i="12"/>
  <c r="P142" i="12"/>
  <c r="P9" i="12"/>
  <c r="P752" i="12"/>
  <c r="P608" i="12"/>
  <c r="P464" i="12"/>
  <c r="P320" i="12"/>
  <c r="P176" i="12"/>
  <c r="P32" i="12"/>
  <c r="P153" i="12"/>
  <c r="P655" i="12"/>
  <c r="P511" i="12"/>
  <c r="P367" i="12"/>
  <c r="P223" i="12"/>
  <c r="P79" i="12"/>
  <c r="P213" i="12"/>
  <c r="P654" i="12"/>
  <c r="P510" i="12"/>
  <c r="P366" i="12"/>
  <c r="P222" i="12"/>
  <c r="P78" i="12"/>
  <c r="P57" i="12"/>
  <c r="P629" i="12"/>
  <c r="P485" i="12"/>
  <c r="P341" i="12"/>
  <c r="P197" i="12"/>
  <c r="P53" i="12"/>
  <c r="P33" i="12"/>
  <c r="P628" i="12"/>
  <c r="P484" i="12"/>
  <c r="P340" i="12"/>
  <c r="P196" i="12"/>
  <c r="P52" i="12"/>
  <c r="P165" i="12"/>
  <c r="P651" i="12"/>
  <c r="P507" i="12"/>
  <c r="P363" i="12"/>
  <c r="P219" i="12"/>
  <c r="P75" i="12"/>
  <c r="P588" i="12"/>
  <c r="P444" i="12"/>
  <c r="P300" i="12"/>
  <c r="P156" i="12"/>
  <c r="P12" i="12"/>
  <c r="P647" i="12"/>
  <c r="P503" i="12"/>
  <c r="P359" i="12"/>
  <c r="P215" i="12"/>
  <c r="P71" i="12"/>
  <c r="P706" i="12"/>
  <c r="P562" i="12"/>
  <c r="P418" i="12"/>
  <c r="P274" i="12"/>
  <c r="P130" i="12"/>
  <c r="P633" i="12"/>
  <c r="P740" i="12"/>
  <c r="P596" i="12"/>
  <c r="P452" i="12"/>
  <c r="P308" i="12"/>
  <c r="P164" i="12"/>
  <c r="P20" i="12"/>
  <c r="P105" i="12"/>
  <c r="P643" i="12"/>
  <c r="P499" i="12"/>
  <c r="P355" i="12"/>
  <c r="P211" i="12"/>
  <c r="P67" i="12"/>
  <c r="P141" i="12"/>
  <c r="P642" i="12"/>
  <c r="P498" i="12"/>
  <c r="P354" i="12"/>
  <c r="P210" i="12"/>
  <c r="P66" i="12"/>
  <c r="P761" i="12"/>
  <c r="P617" i="12"/>
  <c r="P473" i="12"/>
  <c r="P329" i="12"/>
  <c r="P185" i="12"/>
  <c r="P41" i="12"/>
  <c r="P760" i="12"/>
  <c r="P616" i="12"/>
  <c r="P472" i="12"/>
  <c r="P328" i="12"/>
  <c r="P184" i="12"/>
  <c r="P40" i="12"/>
  <c r="P93" i="12"/>
  <c r="P639" i="12"/>
  <c r="P495" i="12"/>
  <c r="P351" i="12"/>
  <c r="P207" i="12"/>
  <c r="P63" i="12"/>
  <c r="P288" i="12"/>
  <c r="P144" i="12"/>
  <c r="P729" i="12"/>
  <c r="P635" i="12"/>
  <c r="P491" i="12"/>
  <c r="P347" i="12"/>
  <c r="P203" i="12"/>
  <c r="P59" i="12"/>
  <c r="P694" i="12"/>
  <c r="P550" i="12"/>
  <c r="P406" i="12"/>
  <c r="P262" i="12"/>
  <c r="P118" i="12"/>
  <c r="P573" i="12"/>
  <c r="P728" i="12"/>
  <c r="P584" i="12"/>
  <c r="P440" i="12"/>
  <c r="P296" i="12"/>
  <c r="P152" i="12"/>
  <c r="P8" i="12"/>
  <c r="P21" i="12"/>
  <c r="P631" i="12"/>
  <c r="P487" i="12"/>
  <c r="P343" i="12"/>
  <c r="P199" i="12"/>
  <c r="P55" i="12"/>
  <c r="P69" i="12"/>
  <c r="P630" i="12"/>
  <c r="P486" i="12"/>
  <c r="P342" i="12"/>
  <c r="P198" i="12"/>
  <c r="P54" i="12"/>
  <c r="P749" i="12"/>
  <c r="P605" i="12"/>
  <c r="P461" i="12"/>
  <c r="P317" i="12"/>
  <c r="P173" i="12"/>
  <c r="P29" i="12"/>
  <c r="P748" i="12"/>
  <c r="P604" i="12"/>
  <c r="P460" i="12"/>
  <c r="P316" i="12"/>
  <c r="P172" i="12"/>
  <c r="P28" i="12"/>
  <c r="P45" i="12"/>
  <c r="P627" i="12"/>
  <c r="P483" i="12"/>
  <c r="P339" i="12"/>
  <c r="P195" i="12"/>
  <c r="P51" i="12"/>
  <c r="P564" i="12"/>
  <c r="P420" i="12"/>
  <c r="P276" i="12"/>
  <c r="P132" i="12"/>
  <c r="P767" i="12"/>
  <c r="P623" i="12"/>
  <c r="P479" i="12"/>
  <c r="P335" i="12"/>
  <c r="P191" i="12"/>
  <c r="P47" i="12"/>
  <c r="P682" i="12"/>
  <c r="P538" i="12"/>
  <c r="P394" i="12"/>
  <c r="P250" i="12"/>
  <c r="P106" i="12"/>
  <c r="P501" i="12"/>
  <c r="P716" i="12"/>
  <c r="P572" i="12"/>
  <c r="P428" i="12"/>
  <c r="P284" i="12"/>
  <c r="P140" i="12"/>
  <c r="P765" i="12"/>
  <c r="P763" i="12"/>
  <c r="P619" i="12"/>
  <c r="P475" i="12"/>
  <c r="P331" i="12"/>
  <c r="P187" i="12"/>
  <c r="P43" i="12"/>
  <c r="P762" i="12"/>
  <c r="P618" i="12"/>
  <c r="P474" i="12"/>
  <c r="P330" i="12"/>
  <c r="P186" i="12"/>
  <c r="P42" i="12"/>
  <c r="P737" i="12"/>
  <c r="P593" i="12"/>
  <c r="P449" i="12"/>
  <c r="P305" i="12"/>
  <c r="P161" i="12"/>
  <c r="P17" i="12"/>
  <c r="P736" i="12"/>
  <c r="P592" i="12"/>
  <c r="P448" i="12"/>
  <c r="P304" i="12"/>
  <c r="P160" i="12"/>
  <c r="P16" i="12"/>
  <c r="P759" i="12"/>
  <c r="P615" i="12"/>
  <c r="P471" i="12"/>
  <c r="P327" i="12"/>
  <c r="P183" i="12"/>
  <c r="P39" i="12"/>
  <c r="P722" i="12"/>
  <c r="P578" i="12"/>
  <c r="P434" i="12"/>
  <c r="P290" i="12"/>
  <c r="P146" i="12"/>
  <c r="P717" i="12"/>
  <c r="P637" i="12"/>
  <c r="P493" i="12"/>
  <c r="P349" i="12"/>
  <c r="P205" i="12"/>
  <c r="P61" i="12"/>
  <c r="P696" i="12"/>
  <c r="P552" i="12"/>
  <c r="P408" i="12"/>
  <c r="P264" i="12"/>
  <c r="P120" i="12"/>
  <c r="P755" i="12"/>
  <c r="P611" i="12"/>
  <c r="P467" i="12"/>
  <c r="P323" i="12"/>
  <c r="P179" i="12"/>
  <c r="P35" i="12"/>
  <c r="P670" i="12"/>
  <c r="P526" i="12"/>
  <c r="P382" i="12"/>
  <c r="P238" i="12"/>
  <c r="P94" i="12"/>
  <c r="P429" i="12"/>
  <c r="P704" i="12"/>
  <c r="P560" i="12"/>
  <c r="P416" i="12"/>
  <c r="P272" i="12"/>
  <c r="P128" i="12"/>
  <c r="P645" i="12"/>
  <c r="P751" i="12"/>
  <c r="P607" i="12"/>
  <c r="P463" i="12"/>
  <c r="P319" i="12"/>
  <c r="P175" i="12"/>
  <c r="P31" i="12"/>
  <c r="P750" i="12"/>
  <c r="P606" i="12"/>
  <c r="P462" i="12"/>
  <c r="P318" i="12"/>
  <c r="P174" i="12"/>
  <c r="P30" i="12"/>
  <c r="P725" i="12"/>
  <c r="P581" i="12"/>
  <c r="P437" i="12"/>
  <c r="P293" i="12"/>
  <c r="P149" i="12"/>
  <c r="P681" i="12"/>
  <c r="P724" i="12"/>
  <c r="P580" i="12"/>
  <c r="P436" i="12"/>
  <c r="P292" i="12"/>
  <c r="P148" i="12"/>
  <c r="P657" i="12"/>
  <c r="P747" i="12"/>
  <c r="P603" i="12"/>
  <c r="P459" i="12"/>
  <c r="P315" i="12"/>
  <c r="P171" i="12"/>
  <c r="P27" i="12"/>
  <c r="P252" i="12"/>
  <c r="P108" i="12"/>
  <c r="P743" i="12"/>
  <c r="P599" i="12"/>
  <c r="P455" i="12"/>
  <c r="P311" i="12"/>
  <c r="P167" i="12"/>
  <c r="P23" i="12"/>
  <c r="P658" i="12"/>
  <c r="P514" i="12"/>
  <c r="P370" i="12"/>
  <c r="P226" i="12"/>
  <c r="P82" i="12"/>
  <c r="P393" i="12"/>
  <c r="P692" i="12"/>
  <c r="P548" i="12"/>
  <c r="P404" i="12"/>
  <c r="P260" i="12"/>
  <c r="P116" i="12"/>
  <c r="P585" i="12"/>
  <c r="P739" i="12"/>
  <c r="P595" i="12"/>
  <c r="P451" i="12"/>
  <c r="P307" i="12"/>
  <c r="P163" i="12"/>
  <c r="P19" i="12"/>
  <c r="P738" i="12"/>
  <c r="P594" i="12"/>
  <c r="P450" i="12"/>
  <c r="P306" i="12"/>
  <c r="P162" i="12"/>
  <c r="P18" i="12"/>
  <c r="P713" i="12"/>
  <c r="P569" i="12"/>
  <c r="P425" i="12"/>
  <c r="P281" i="12"/>
  <c r="P137" i="12"/>
  <c r="P609" i="12"/>
  <c r="P712" i="12"/>
  <c r="P568" i="12"/>
  <c r="P424" i="12"/>
  <c r="P280" i="12"/>
  <c r="P136" i="12"/>
  <c r="P597" i="12"/>
  <c r="P735" i="12"/>
  <c r="P591" i="12"/>
  <c r="P447" i="12"/>
  <c r="P303" i="12"/>
  <c r="P159" i="12"/>
  <c r="G164" i="15"/>
  <c r="G138" i="15"/>
  <c r="G137" i="15"/>
  <c r="G140" i="15"/>
  <c r="G139" i="15"/>
  <c r="G166" i="15"/>
  <c r="G165" i="15"/>
  <c r="G141" i="15"/>
  <c r="G167" i="15"/>
  <c r="G136" i="15"/>
  <c r="D208" i="15"/>
  <c r="U11" i="2"/>
  <c r="C85" i="15" s="1"/>
  <c r="E170" i="15" a="1"/>
  <c r="E170" i="15" s="1"/>
  <c r="L4" i="8" l="1"/>
  <c r="M4" i="8"/>
  <c r="L5" i="8"/>
  <c r="M5" i="8"/>
  <c r="C11" i="15"/>
  <c r="C9" i="15"/>
  <c r="Y21" i="2"/>
  <c r="D229" i="15" s="1"/>
  <c r="Y22" i="2"/>
  <c r="D230" i="15" s="1"/>
  <c r="Y23" i="2"/>
  <c r="D231" i="15" s="1"/>
  <c r="Y24" i="2"/>
  <c r="D232" i="15" s="1"/>
  <c r="U10" i="2"/>
  <c r="C84" i="15" s="1"/>
  <c r="C45" i="14" s="1"/>
  <c r="P23" i="2"/>
  <c r="C63" i="15" s="1"/>
  <c r="P24" i="2"/>
  <c r="C64" i="15" s="1"/>
  <c r="P25" i="2"/>
  <c r="Q25" i="2"/>
  <c r="R25" i="2"/>
  <c r="P15" i="2"/>
  <c r="C55" i="15" s="1"/>
  <c r="Q15" i="2"/>
  <c r="E55" i="15" s="1"/>
  <c r="R15" i="2"/>
  <c r="F55" i="15" s="1"/>
  <c r="P16" i="2"/>
  <c r="G55" i="15" l="1"/>
  <c r="C44" i="14" s="1"/>
  <c r="C65" i="15"/>
  <c r="G65" i="15" s="1"/>
  <c r="F207" i="15"/>
  <c r="C89" i="14" s="1"/>
  <c r="R4" i="12"/>
  <c r="R771" i="12"/>
  <c r="R5" i="12" s="1"/>
  <c r="P511" i="8"/>
  <c r="P5" i="8" s="1"/>
  <c r="P4" i="8"/>
  <c r="C10" i="15" l="1"/>
  <c r="C80" i="4" s="1"/>
  <c r="E79" i="4" s="1"/>
  <c r="E89" i="14"/>
  <c r="D89" i="14"/>
  <c r="D7" i="18"/>
  <c r="B3" i="18"/>
  <c r="B2" i="18"/>
  <c r="B1" i="18"/>
  <c r="Z7" i="12" l="1"/>
  <c r="AB7" i="12" s="1"/>
  <c r="Z8" i="12"/>
  <c r="AB8" i="12" s="1"/>
  <c r="Z9" i="12"/>
  <c r="AB9" i="12" s="1"/>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Z536" i="12"/>
  <c r="Z537" i="12"/>
  <c r="Z538" i="12"/>
  <c r="Z539" i="12"/>
  <c r="Z540" i="12"/>
  <c r="Z541" i="12"/>
  <c r="Z542" i="12"/>
  <c r="Z543" i="12"/>
  <c r="Z544" i="12"/>
  <c r="Z545" i="12"/>
  <c r="Z546" i="12"/>
  <c r="Z547" i="12"/>
  <c r="Z548" i="12"/>
  <c r="Z549" i="12"/>
  <c r="Z550" i="12"/>
  <c r="Z551" i="12"/>
  <c r="Z552" i="12"/>
  <c r="Z553" i="12"/>
  <c r="Z554" i="12"/>
  <c r="Z555" i="12"/>
  <c r="Z556" i="12"/>
  <c r="Z557" i="12"/>
  <c r="Z558" i="12"/>
  <c r="Z559" i="12"/>
  <c r="Z560" i="12"/>
  <c r="Z561" i="12"/>
  <c r="Z562" i="12"/>
  <c r="Z563" i="12"/>
  <c r="Z564" i="12"/>
  <c r="Z565" i="12"/>
  <c r="Z566" i="12"/>
  <c r="Z567" i="12"/>
  <c r="Z568" i="12"/>
  <c r="Z569" i="12"/>
  <c r="Z570" i="12"/>
  <c r="Z571" i="12"/>
  <c r="Z572" i="12"/>
  <c r="Z573" i="12"/>
  <c r="Z574" i="12"/>
  <c r="Z575" i="12"/>
  <c r="Z576" i="12"/>
  <c r="Z577" i="12"/>
  <c r="Z578" i="12"/>
  <c r="Z579" i="12"/>
  <c r="Z580" i="12"/>
  <c r="Z581" i="12"/>
  <c r="Z582" i="12"/>
  <c r="Z583" i="12"/>
  <c r="Z584" i="12"/>
  <c r="Z585" i="12"/>
  <c r="Z586" i="12"/>
  <c r="Z587" i="12"/>
  <c r="Z588" i="12"/>
  <c r="Z589" i="12"/>
  <c r="Z590" i="12"/>
  <c r="Z591" i="12"/>
  <c r="Z592" i="12"/>
  <c r="Z593" i="12"/>
  <c r="Z594" i="12"/>
  <c r="Z595" i="12"/>
  <c r="Z596" i="12"/>
  <c r="Z597" i="12"/>
  <c r="Z598" i="12"/>
  <c r="Z599" i="12"/>
  <c r="Z600" i="12"/>
  <c r="Z601" i="12"/>
  <c r="Z602" i="12"/>
  <c r="Z603" i="12"/>
  <c r="Z604" i="12"/>
  <c r="Z605" i="12"/>
  <c r="Z606" i="12"/>
  <c r="Z607" i="12"/>
  <c r="Z608" i="12"/>
  <c r="Z609" i="12"/>
  <c r="Z610" i="12"/>
  <c r="Z611" i="12"/>
  <c r="Z612" i="12"/>
  <c r="Z613" i="12"/>
  <c r="Z614" i="12"/>
  <c r="Z615" i="12"/>
  <c r="Z616" i="12"/>
  <c r="Z617" i="12"/>
  <c r="Z618" i="12"/>
  <c r="Z619" i="12"/>
  <c r="Z620" i="12"/>
  <c r="Z621" i="12"/>
  <c r="Z622" i="12"/>
  <c r="Z623" i="12"/>
  <c r="Z624" i="12"/>
  <c r="Z625" i="12"/>
  <c r="Z626" i="12"/>
  <c r="Z627" i="12"/>
  <c r="Z628" i="12"/>
  <c r="Z629" i="12"/>
  <c r="Z630" i="12"/>
  <c r="Z631" i="12"/>
  <c r="Z632" i="12"/>
  <c r="Z633" i="12"/>
  <c r="Z634" i="12"/>
  <c r="Z635" i="12"/>
  <c r="Z636" i="12"/>
  <c r="Z637" i="12"/>
  <c r="Z638" i="12"/>
  <c r="Z639" i="12"/>
  <c r="Z640" i="12"/>
  <c r="Z641" i="12"/>
  <c r="Z642" i="12"/>
  <c r="Z643" i="12"/>
  <c r="Z644" i="12"/>
  <c r="Z645" i="12"/>
  <c r="Z646" i="12"/>
  <c r="Z647" i="12"/>
  <c r="Z648" i="12"/>
  <c r="Z649" i="12"/>
  <c r="Z650" i="12"/>
  <c r="Z651" i="12"/>
  <c r="Z652" i="12"/>
  <c r="Z653" i="12"/>
  <c r="Z654" i="12"/>
  <c r="Z655" i="12"/>
  <c r="Z656" i="12"/>
  <c r="Z657" i="12"/>
  <c r="Z658" i="12"/>
  <c r="Z659" i="12"/>
  <c r="Z660" i="12"/>
  <c r="Z661" i="12"/>
  <c r="Z662" i="12"/>
  <c r="Z663" i="12"/>
  <c r="Z664" i="12"/>
  <c r="Z665" i="12"/>
  <c r="Z666" i="12"/>
  <c r="Z667" i="12"/>
  <c r="Z668" i="12"/>
  <c r="Z669" i="12"/>
  <c r="Z670" i="12"/>
  <c r="Z671" i="12"/>
  <c r="Z672" i="12"/>
  <c r="Z673" i="12"/>
  <c r="Z674" i="12"/>
  <c r="Z675" i="12"/>
  <c r="Z676" i="12"/>
  <c r="Z677" i="12"/>
  <c r="Z678" i="12"/>
  <c r="Z679" i="12"/>
  <c r="Z680" i="12"/>
  <c r="Z681" i="12"/>
  <c r="Z682" i="12"/>
  <c r="Z683" i="12"/>
  <c r="Z684" i="12"/>
  <c r="Z685" i="12"/>
  <c r="Z686" i="12"/>
  <c r="Z687" i="12"/>
  <c r="Z688" i="12"/>
  <c r="Z689" i="12"/>
  <c r="Z690" i="12"/>
  <c r="Z691" i="12"/>
  <c r="Z692" i="12"/>
  <c r="Z693" i="12"/>
  <c r="Z694" i="12"/>
  <c r="Z695" i="12"/>
  <c r="Z696" i="12"/>
  <c r="Z697" i="12"/>
  <c r="Z698" i="12"/>
  <c r="Z699" i="12"/>
  <c r="Z700" i="12"/>
  <c r="Z701" i="12"/>
  <c r="Z702" i="12"/>
  <c r="Z703" i="12"/>
  <c r="Z704" i="12"/>
  <c r="Z705" i="12"/>
  <c r="Z706" i="12"/>
  <c r="Z707" i="12"/>
  <c r="Z708" i="12"/>
  <c r="Z709" i="12"/>
  <c r="Z710" i="12"/>
  <c r="Z711" i="12"/>
  <c r="Z712" i="12"/>
  <c r="Z713" i="12"/>
  <c r="Z714" i="12"/>
  <c r="Z715" i="12"/>
  <c r="Z716" i="12"/>
  <c r="Z744" i="12"/>
  <c r="Z745" i="12"/>
  <c r="Z746" i="12"/>
  <c r="Z747" i="12"/>
  <c r="Z748" i="12"/>
  <c r="Z749" i="12"/>
  <c r="Z750" i="12"/>
  <c r="Z751" i="12"/>
  <c r="Z752" i="12"/>
  <c r="Z753" i="12"/>
  <c r="Z754" i="12"/>
  <c r="Z755" i="12"/>
  <c r="Z756" i="12"/>
  <c r="Z757" i="12"/>
  <c r="Z758" i="12"/>
  <c r="Z759" i="12"/>
  <c r="Z760" i="12"/>
  <c r="Z761" i="12"/>
  <c r="Z762" i="12"/>
  <c r="Z763" i="12"/>
  <c r="Z764" i="12"/>
  <c r="Z765" i="12"/>
  <c r="Z766" i="12"/>
  <c r="Z767" i="12"/>
  <c r="Z768" i="12"/>
  <c r="Z769" i="12"/>
  <c r="F13" i="15"/>
  <c r="H10" i="15"/>
  <c r="F11" i="15"/>
  <c r="F9" i="15"/>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9" i="6"/>
  <c r="B82" i="14" l="1"/>
  <c r="K30" i="15" l="1"/>
  <c r="B73" i="4"/>
  <c r="B72" i="4"/>
  <c r="B71" i="4"/>
  <c r="B70" i="4"/>
  <c r="H32" i="15"/>
  <c r="H31" i="15"/>
  <c r="H30" i="15"/>
  <c r="I100" i="13" l="1"/>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D14" i="10" l="1"/>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D15" i="10" l="1"/>
  <c r="D16" i="10" s="1"/>
  <c r="D17" i="10" s="1"/>
  <c r="D18" i="10" s="1"/>
  <c r="D19" i="10" s="1"/>
  <c r="D20" i="10" s="1"/>
  <c r="D21" i="10" s="1"/>
  <c r="P7" i="12" s="1"/>
  <c r="F35" i="15"/>
  <c r="C237" i="15"/>
  <c r="D237" i="15"/>
  <c r="E237" i="15"/>
  <c r="F237" i="15"/>
  <c r="C238" i="15"/>
  <c r="D238" i="15"/>
  <c r="E238" i="15"/>
  <c r="F238" i="15"/>
  <c r="C239" i="15"/>
  <c r="D239" i="15"/>
  <c r="E239" i="15"/>
  <c r="F239" i="15"/>
  <c r="C240" i="15"/>
  <c r="D240" i="15"/>
  <c r="E240" i="15"/>
  <c r="F240" i="15"/>
  <c r="C241" i="15"/>
  <c r="D241" i="15"/>
  <c r="E241" i="15"/>
  <c r="F241" i="15"/>
  <c r="C242" i="15"/>
  <c r="D242" i="15"/>
  <c r="E242" i="15"/>
  <c r="F242" i="15"/>
  <c r="C243" i="15"/>
  <c r="D243" i="15"/>
  <c r="E243" i="15"/>
  <c r="F243" i="15"/>
  <c r="C244" i="15"/>
  <c r="D244" i="15"/>
  <c r="E244" i="15"/>
  <c r="F244" i="15"/>
  <c r="C245" i="15"/>
  <c r="D245" i="15"/>
  <c r="E245" i="15"/>
  <c r="F245" i="15"/>
  <c r="C246" i="15"/>
  <c r="D246" i="15"/>
  <c r="E246" i="15"/>
  <c r="F246" i="15"/>
  <c r="C247" i="15"/>
  <c r="D247" i="15"/>
  <c r="E247" i="15"/>
  <c r="F247" i="15"/>
  <c r="C248" i="15"/>
  <c r="D248" i="15"/>
  <c r="E248" i="15"/>
  <c r="F248" i="15"/>
  <c r="C249" i="15"/>
  <c r="D249" i="15"/>
  <c r="E249" i="15"/>
  <c r="F249" i="15"/>
  <c r="C250" i="15"/>
  <c r="D250" i="15"/>
  <c r="E250" i="15"/>
  <c r="F250" i="15"/>
  <c r="C251" i="15"/>
  <c r="D251" i="15"/>
  <c r="E251" i="15"/>
  <c r="F251" i="15"/>
  <c r="C252" i="15"/>
  <c r="D252" i="15"/>
  <c r="E252" i="15"/>
  <c r="F252" i="15"/>
  <c r="C253" i="15"/>
  <c r="D253" i="15"/>
  <c r="E253" i="15"/>
  <c r="F253" i="15"/>
  <c r="C254" i="15"/>
  <c r="D254" i="15"/>
  <c r="E254" i="15"/>
  <c r="F254" i="15"/>
  <c r="F236" i="15"/>
  <c r="E236" i="15"/>
  <c r="D236" i="15"/>
  <c r="F34" i="15" l="1"/>
  <c r="C259" i="15"/>
  <c r="D259" i="15"/>
  <c r="E259" i="15"/>
  <c r="F259" i="15"/>
  <c r="H208" i="15" l="1"/>
  <c r="K207" i="15" s="1"/>
  <c r="K208" i="15" s="1"/>
  <c r="R12" i="2"/>
  <c r="R16" i="2"/>
  <c r="R23" i="2"/>
  <c r="F63" i="15" s="1"/>
  <c r="R24" i="2"/>
  <c r="F64" i="15" s="1"/>
  <c r="A82" i="14" l="1"/>
  <c r="AL68" i="2" l="1"/>
  <c r="AK68" i="2"/>
  <c r="AJ68" i="2"/>
  <c r="AI68" i="2"/>
  <c r="AH68" i="2"/>
  <c r="AG68" i="2"/>
  <c r="AL67" i="2"/>
  <c r="AK67" i="2"/>
  <c r="AJ67" i="2"/>
  <c r="AI67" i="2"/>
  <c r="AH67" i="2"/>
  <c r="AG67" i="2"/>
  <c r="AL66" i="2"/>
  <c r="AK66" i="2"/>
  <c r="AJ66" i="2"/>
  <c r="AI66" i="2"/>
  <c r="AH66" i="2"/>
  <c r="AG66" i="2"/>
  <c r="AL65" i="2"/>
  <c r="AK65" i="2"/>
  <c r="AJ65" i="2"/>
  <c r="AI65" i="2"/>
  <c r="AH65" i="2"/>
  <c r="AG65" i="2"/>
  <c r="AL64" i="2"/>
  <c r="AK64" i="2"/>
  <c r="AJ64" i="2"/>
  <c r="AI64" i="2"/>
  <c r="AH64" i="2"/>
  <c r="AG64" i="2"/>
  <c r="AL63" i="2"/>
  <c r="AK63" i="2"/>
  <c r="AJ63" i="2"/>
  <c r="AI63" i="2"/>
  <c r="AH63" i="2"/>
  <c r="AG63" i="2"/>
  <c r="AL62" i="2"/>
  <c r="AK62" i="2"/>
  <c r="AJ62" i="2"/>
  <c r="AI62" i="2"/>
  <c r="AH62" i="2"/>
  <c r="AG62" i="2"/>
  <c r="AL61" i="2"/>
  <c r="AK61" i="2"/>
  <c r="AJ61" i="2"/>
  <c r="AI61" i="2"/>
  <c r="AH61" i="2"/>
  <c r="AG61" i="2"/>
  <c r="AL60" i="2"/>
  <c r="AK60" i="2"/>
  <c r="AJ60" i="2"/>
  <c r="AI60" i="2"/>
  <c r="AH60" i="2"/>
  <c r="AG60" i="2"/>
  <c r="AL59" i="2"/>
  <c r="AK59" i="2"/>
  <c r="AJ59" i="2"/>
  <c r="AI59" i="2"/>
  <c r="AH59" i="2"/>
  <c r="AG59" i="2"/>
  <c r="AL58" i="2"/>
  <c r="AK58" i="2"/>
  <c r="AJ58" i="2"/>
  <c r="AI58" i="2"/>
  <c r="AH58" i="2"/>
  <c r="AG58" i="2"/>
  <c r="AL57" i="2"/>
  <c r="AK57" i="2"/>
  <c r="AJ57" i="2"/>
  <c r="AI57" i="2"/>
  <c r="AH57" i="2"/>
  <c r="AG57" i="2"/>
  <c r="AL56" i="2"/>
  <c r="AK56" i="2"/>
  <c r="AJ56" i="2"/>
  <c r="AI56" i="2"/>
  <c r="AH56" i="2"/>
  <c r="AG56" i="2"/>
  <c r="AL55" i="2"/>
  <c r="AK55" i="2"/>
  <c r="AJ55" i="2"/>
  <c r="AI55" i="2"/>
  <c r="AH55" i="2"/>
  <c r="AG55" i="2"/>
  <c r="AL54" i="2"/>
  <c r="AK54" i="2"/>
  <c r="AJ54" i="2"/>
  <c r="AI54" i="2"/>
  <c r="AH54" i="2"/>
  <c r="AG54" i="2"/>
  <c r="AL53" i="2"/>
  <c r="AK53" i="2"/>
  <c r="AJ53" i="2"/>
  <c r="AI53" i="2"/>
  <c r="AH53" i="2"/>
  <c r="AG53" i="2"/>
  <c r="AL52" i="2"/>
  <c r="AK52" i="2"/>
  <c r="AJ52" i="2"/>
  <c r="AI52" i="2"/>
  <c r="AH52" i="2"/>
  <c r="AG52" i="2"/>
  <c r="AL51" i="2"/>
  <c r="AK51" i="2"/>
  <c r="AJ51" i="2"/>
  <c r="AI51" i="2"/>
  <c r="AH51" i="2"/>
  <c r="AG51" i="2"/>
  <c r="AL50" i="2"/>
  <c r="AK50" i="2"/>
  <c r="AJ50" i="2"/>
  <c r="AI50" i="2"/>
  <c r="AH50" i="2"/>
  <c r="AG50" i="2"/>
  <c r="AL49" i="2"/>
  <c r="AK49" i="2"/>
  <c r="AJ49" i="2"/>
  <c r="AI49" i="2"/>
  <c r="AH49" i="2"/>
  <c r="AG49" i="2"/>
  <c r="AL48" i="2"/>
  <c r="AK48" i="2"/>
  <c r="AJ48" i="2"/>
  <c r="AI48" i="2"/>
  <c r="AH48" i="2"/>
  <c r="AG48" i="2"/>
  <c r="AL47" i="2"/>
  <c r="AK47" i="2"/>
  <c r="AJ47" i="2"/>
  <c r="AI47" i="2"/>
  <c r="AH47" i="2"/>
  <c r="AG47" i="2"/>
  <c r="AL46" i="2"/>
  <c r="AK46" i="2"/>
  <c r="AJ46" i="2"/>
  <c r="AI46" i="2"/>
  <c r="AH46" i="2"/>
  <c r="AG46" i="2"/>
  <c r="AL45" i="2"/>
  <c r="AK45" i="2"/>
  <c r="AJ45" i="2"/>
  <c r="AI45" i="2"/>
  <c r="AH45" i="2"/>
  <c r="AG45" i="2"/>
  <c r="AL44" i="2"/>
  <c r="AK44" i="2"/>
  <c r="AJ44" i="2"/>
  <c r="AI44" i="2"/>
  <c r="AH44" i="2"/>
  <c r="AG44" i="2"/>
  <c r="AL43" i="2"/>
  <c r="AK43" i="2"/>
  <c r="AJ43" i="2"/>
  <c r="AI43" i="2"/>
  <c r="AH43" i="2"/>
  <c r="AG43" i="2"/>
  <c r="AL42" i="2"/>
  <c r="AK42" i="2"/>
  <c r="AJ42" i="2"/>
  <c r="AI42" i="2"/>
  <c r="AH42" i="2"/>
  <c r="AG42" i="2"/>
  <c r="AL41" i="2"/>
  <c r="AK41" i="2"/>
  <c r="AJ41" i="2"/>
  <c r="AI41" i="2"/>
  <c r="AH41" i="2"/>
  <c r="AG41" i="2"/>
  <c r="AL40" i="2"/>
  <c r="AK40" i="2"/>
  <c r="AJ40" i="2"/>
  <c r="AI40" i="2"/>
  <c r="AH40" i="2"/>
  <c r="AG40" i="2"/>
  <c r="AL39" i="2"/>
  <c r="AK39" i="2"/>
  <c r="AJ39" i="2"/>
  <c r="AI39" i="2"/>
  <c r="AH39" i="2"/>
  <c r="AG39" i="2"/>
  <c r="AL38" i="2"/>
  <c r="AK38" i="2"/>
  <c r="AJ38" i="2"/>
  <c r="AI38" i="2"/>
  <c r="AH38" i="2"/>
  <c r="AG38" i="2"/>
  <c r="AL37" i="2"/>
  <c r="AK37" i="2"/>
  <c r="AJ37" i="2"/>
  <c r="AI37" i="2"/>
  <c r="AH37" i="2"/>
  <c r="AG37" i="2"/>
  <c r="AL36" i="2"/>
  <c r="AK36" i="2"/>
  <c r="AJ36" i="2"/>
  <c r="AI36" i="2"/>
  <c r="AH36" i="2"/>
  <c r="AG36" i="2"/>
  <c r="AL35" i="2"/>
  <c r="AK35" i="2"/>
  <c r="AJ35" i="2"/>
  <c r="AI35" i="2"/>
  <c r="AH35" i="2"/>
  <c r="AG35" i="2"/>
  <c r="AL34" i="2"/>
  <c r="AK34" i="2"/>
  <c r="AJ34" i="2"/>
  <c r="AI34" i="2"/>
  <c r="AH34" i="2"/>
  <c r="AG34" i="2"/>
  <c r="AL33" i="2"/>
  <c r="AK33" i="2"/>
  <c r="AJ33" i="2"/>
  <c r="AI33" i="2"/>
  <c r="AH33" i="2"/>
  <c r="AG33" i="2"/>
  <c r="AL32" i="2"/>
  <c r="AK32" i="2"/>
  <c r="AJ32" i="2"/>
  <c r="AI32" i="2"/>
  <c r="AH32" i="2"/>
  <c r="AG32" i="2"/>
  <c r="AL31" i="2"/>
  <c r="AK31" i="2"/>
  <c r="AJ31" i="2"/>
  <c r="AI31" i="2"/>
  <c r="AH31" i="2"/>
  <c r="AG31" i="2"/>
  <c r="AL30" i="2"/>
  <c r="AK30" i="2"/>
  <c r="AJ30" i="2"/>
  <c r="AI30" i="2"/>
  <c r="AH30" i="2"/>
  <c r="AG30" i="2"/>
  <c r="AL29" i="2"/>
  <c r="AK29" i="2"/>
  <c r="AJ29" i="2"/>
  <c r="AI29" i="2"/>
  <c r="AH29" i="2"/>
  <c r="AG29" i="2"/>
  <c r="AL28" i="2"/>
  <c r="AK28" i="2"/>
  <c r="AJ28" i="2"/>
  <c r="AI28" i="2"/>
  <c r="AH28" i="2"/>
  <c r="AG28" i="2"/>
  <c r="AL27" i="2"/>
  <c r="AK27" i="2"/>
  <c r="AJ27" i="2"/>
  <c r="AI27" i="2"/>
  <c r="AH27" i="2"/>
  <c r="AG27" i="2"/>
  <c r="AL26" i="2"/>
  <c r="AK26" i="2"/>
  <c r="AJ26" i="2"/>
  <c r="AI26" i="2"/>
  <c r="AH26" i="2"/>
  <c r="AG26" i="2"/>
  <c r="AL25" i="2"/>
  <c r="AK25" i="2"/>
  <c r="AJ25" i="2"/>
  <c r="AI25" i="2"/>
  <c r="AH25" i="2"/>
  <c r="AG25" i="2"/>
  <c r="AL24" i="2"/>
  <c r="AK24" i="2"/>
  <c r="AJ24" i="2"/>
  <c r="AI24" i="2"/>
  <c r="AH24" i="2"/>
  <c r="AG24" i="2"/>
  <c r="AL23" i="2"/>
  <c r="AK23" i="2"/>
  <c r="AJ23" i="2"/>
  <c r="AI23" i="2"/>
  <c r="AH23" i="2"/>
  <c r="AG23" i="2"/>
  <c r="AL22" i="2"/>
  <c r="AK22" i="2"/>
  <c r="AJ22" i="2"/>
  <c r="AI22" i="2"/>
  <c r="AH22" i="2"/>
  <c r="AG22" i="2"/>
  <c r="AL21" i="2"/>
  <c r="AK21" i="2"/>
  <c r="AJ21" i="2"/>
  <c r="AI21" i="2"/>
  <c r="AH21" i="2"/>
  <c r="AG21" i="2"/>
  <c r="AL20" i="2"/>
  <c r="AK20" i="2"/>
  <c r="AJ20" i="2"/>
  <c r="AI20" i="2"/>
  <c r="AH20" i="2"/>
  <c r="AG20" i="2"/>
  <c r="AL19" i="2"/>
  <c r="AK19" i="2"/>
  <c r="AJ19" i="2"/>
  <c r="AI19" i="2"/>
  <c r="AH19" i="2"/>
  <c r="AG19" i="2"/>
  <c r="AL18" i="2"/>
  <c r="AK18" i="2"/>
  <c r="AJ18" i="2"/>
  <c r="AI18" i="2"/>
  <c r="AH18" i="2"/>
  <c r="AG18" i="2"/>
  <c r="AL17" i="2"/>
  <c r="AK17" i="2"/>
  <c r="AJ17" i="2"/>
  <c r="AI17" i="2"/>
  <c r="AH17" i="2"/>
  <c r="AG17" i="2"/>
  <c r="AL16" i="2"/>
  <c r="AK16" i="2"/>
  <c r="AJ16" i="2"/>
  <c r="AI16" i="2"/>
  <c r="AH16" i="2"/>
  <c r="AG16" i="2"/>
  <c r="AL15" i="2"/>
  <c r="AK15" i="2"/>
  <c r="AJ15" i="2"/>
  <c r="AI15" i="2"/>
  <c r="AH15" i="2"/>
  <c r="AG15" i="2"/>
  <c r="AL14" i="2"/>
  <c r="AK14" i="2"/>
  <c r="AJ14" i="2"/>
  <c r="AI14" i="2"/>
  <c r="AH14" i="2"/>
  <c r="AG14" i="2"/>
  <c r="AL13" i="2"/>
  <c r="AK13" i="2"/>
  <c r="AJ13" i="2"/>
  <c r="AI13" i="2"/>
  <c r="AH13" i="2"/>
  <c r="AG13" i="2"/>
  <c r="AL12" i="2"/>
  <c r="AK12" i="2"/>
  <c r="AJ12" i="2"/>
  <c r="AI12" i="2"/>
  <c r="AH12" i="2"/>
  <c r="AG12" i="2"/>
  <c r="AL11" i="2"/>
  <c r="AK11" i="2"/>
  <c r="AJ11" i="2"/>
  <c r="AI11" i="2"/>
  <c r="AH11" i="2"/>
  <c r="AG11" i="2"/>
  <c r="AL10" i="2"/>
  <c r="AK10" i="2"/>
  <c r="AJ10" i="2"/>
  <c r="AI10" i="2"/>
  <c r="AH10" i="2"/>
  <c r="AG10" i="2"/>
  <c r="AL9" i="2"/>
  <c r="AK9" i="2"/>
  <c r="AJ9" i="2"/>
  <c r="AI9" i="2"/>
  <c r="AH9" i="2"/>
  <c r="AG9" i="2"/>
  <c r="AL8" i="2"/>
  <c r="AK8" i="2"/>
  <c r="AJ8" i="2"/>
  <c r="AI8" i="2"/>
  <c r="AH8" i="2"/>
  <c r="AG8" i="2"/>
  <c r="AL7" i="2"/>
  <c r="AK7" i="2"/>
  <c r="AJ7" i="2"/>
  <c r="AI7" i="2"/>
  <c r="AH7" i="2"/>
  <c r="AG7" i="2"/>
  <c r="AL6" i="2"/>
  <c r="AK6" i="2"/>
  <c r="AJ6" i="2"/>
  <c r="AI6" i="2"/>
  <c r="AH6" i="2"/>
  <c r="AG6" i="2"/>
  <c r="AL5" i="2"/>
  <c r="AK5" i="2"/>
  <c r="AJ5" i="2"/>
  <c r="AI5" i="2"/>
  <c r="AH5" i="2"/>
  <c r="AG5" i="2"/>
  <c r="AL4" i="2"/>
  <c r="AK4" i="2"/>
  <c r="AJ4" i="2"/>
  <c r="AI4" i="2"/>
  <c r="AH4" i="2"/>
  <c r="AG4" i="2"/>
  <c r="D325" i="15"/>
  <c r="E325" i="15"/>
  <c r="F325" i="15"/>
  <c r="G325" i="15"/>
  <c r="H325" i="15"/>
  <c r="D326" i="15"/>
  <c r="E326" i="15"/>
  <c r="F326" i="15"/>
  <c r="G326" i="15"/>
  <c r="H326" i="15"/>
  <c r="D327" i="15"/>
  <c r="E327" i="15"/>
  <c r="F327" i="15"/>
  <c r="G327" i="15"/>
  <c r="H327" i="15"/>
  <c r="D328" i="15"/>
  <c r="E328" i="15"/>
  <c r="F328" i="15"/>
  <c r="G328" i="15"/>
  <c r="H328" i="15"/>
  <c r="D329" i="15"/>
  <c r="E329" i="15"/>
  <c r="F329" i="15"/>
  <c r="G329" i="15"/>
  <c r="H329" i="15"/>
  <c r="D330" i="15"/>
  <c r="E330" i="15"/>
  <c r="F330" i="15"/>
  <c r="G330" i="15"/>
  <c r="H330" i="15"/>
  <c r="D331" i="15"/>
  <c r="E331" i="15"/>
  <c r="F331" i="15"/>
  <c r="G331" i="15"/>
  <c r="H331" i="15"/>
  <c r="D332" i="15"/>
  <c r="E332" i="15"/>
  <c r="F332" i="15"/>
  <c r="G332" i="15"/>
  <c r="H332" i="15"/>
  <c r="D333" i="15"/>
  <c r="E333" i="15"/>
  <c r="F333" i="15"/>
  <c r="G333" i="15"/>
  <c r="H333" i="15"/>
  <c r="D334" i="15"/>
  <c r="E334" i="15"/>
  <c r="F334" i="15"/>
  <c r="G334" i="15"/>
  <c r="H334" i="15"/>
  <c r="D335" i="15"/>
  <c r="E335" i="15"/>
  <c r="F335" i="15"/>
  <c r="G335" i="15"/>
  <c r="H335" i="15"/>
  <c r="D336" i="15"/>
  <c r="E336" i="15"/>
  <c r="F336" i="15"/>
  <c r="G336" i="15"/>
  <c r="H336" i="15"/>
  <c r="D337" i="15"/>
  <c r="E337" i="15"/>
  <c r="F337" i="15"/>
  <c r="G337" i="15"/>
  <c r="H337" i="15"/>
  <c r="D338" i="15"/>
  <c r="E338" i="15"/>
  <c r="F338" i="15"/>
  <c r="G338" i="15"/>
  <c r="H338" i="15"/>
  <c r="D339" i="15"/>
  <c r="E339" i="15"/>
  <c r="F339" i="15"/>
  <c r="G339" i="15"/>
  <c r="H339" i="15"/>
  <c r="D340" i="15"/>
  <c r="E340" i="15"/>
  <c r="F340" i="15"/>
  <c r="G340" i="15"/>
  <c r="H340" i="15"/>
  <c r="D341" i="15"/>
  <c r="E341" i="15"/>
  <c r="F341" i="15"/>
  <c r="G341" i="15"/>
  <c r="H341" i="15"/>
  <c r="D342" i="15"/>
  <c r="E342" i="15"/>
  <c r="F342" i="15"/>
  <c r="G342" i="15"/>
  <c r="H342" i="15"/>
  <c r="H324" i="15"/>
  <c r="G324" i="15"/>
  <c r="F324" i="15"/>
  <c r="E324" i="15"/>
  <c r="D324" i="15"/>
  <c r="C324" i="15"/>
  <c r="F306" i="15"/>
  <c r="G306" i="15"/>
  <c r="H306" i="15"/>
  <c r="F307" i="15"/>
  <c r="G307" i="15"/>
  <c r="H307" i="15"/>
  <c r="F308" i="15"/>
  <c r="G308" i="15"/>
  <c r="H308" i="15"/>
  <c r="F309" i="15"/>
  <c r="G309" i="15"/>
  <c r="H309" i="15"/>
  <c r="F310" i="15"/>
  <c r="G310" i="15"/>
  <c r="H310" i="15"/>
  <c r="F311" i="15"/>
  <c r="G311" i="15"/>
  <c r="H311" i="15"/>
  <c r="F312" i="15"/>
  <c r="G312" i="15"/>
  <c r="H312" i="15"/>
  <c r="F313" i="15"/>
  <c r="G313" i="15"/>
  <c r="H313" i="15"/>
  <c r="F314" i="15"/>
  <c r="G314" i="15"/>
  <c r="H314" i="15"/>
  <c r="F315" i="15"/>
  <c r="G315" i="15"/>
  <c r="H315" i="15"/>
  <c r="F316" i="15"/>
  <c r="G316" i="15"/>
  <c r="H316" i="15"/>
  <c r="F317" i="15"/>
  <c r="G317" i="15"/>
  <c r="H317" i="15"/>
  <c r="F318" i="15"/>
  <c r="G318" i="15"/>
  <c r="H318" i="15"/>
  <c r="F319" i="15"/>
  <c r="G319" i="15"/>
  <c r="H319" i="15"/>
  <c r="F320" i="15"/>
  <c r="G320" i="15"/>
  <c r="H320" i="15"/>
  <c r="F321" i="15"/>
  <c r="G321" i="15"/>
  <c r="H321" i="15"/>
  <c r="F322" i="15"/>
  <c r="G322" i="15"/>
  <c r="H322" i="15"/>
  <c r="F323" i="15"/>
  <c r="G323" i="15"/>
  <c r="H323" i="15"/>
  <c r="H305" i="15"/>
  <c r="G305" i="15"/>
  <c r="F305" i="15"/>
  <c r="E306" i="15"/>
  <c r="E307" i="15"/>
  <c r="E308" i="15"/>
  <c r="E309" i="15"/>
  <c r="E310" i="15"/>
  <c r="E311" i="15"/>
  <c r="E312" i="15"/>
  <c r="E313" i="15"/>
  <c r="E314" i="15"/>
  <c r="E315" i="15"/>
  <c r="E316" i="15"/>
  <c r="E317" i="15"/>
  <c r="E318" i="15"/>
  <c r="E319" i="15"/>
  <c r="E320" i="15"/>
  <c r="E321" i="15"/>
  <c r="E322" i="15"/>
  <c r="E323" i="15"/>
  <c r="E305" i="15"/>
  <c r="D305" i="15"/>
  <c r="D306" i="15"/>
  <c r="D307" i="15"/>
  <c r="D308" i="15"/>
  <c r="D309" i="15"/>
  <c r="D310" i="15"/>
  <c r="D311" i="15"/>
  <c r="D312" i="15"/>
  <c r="D313" i="15"/>
  <c r="D314" i="15"/>
  <c r="D315" i="15"/>
  <c r="D316" i="15"/>
  <c r="D317" i="15"/>
  <c r="D318" i="15"/>
  <c r="D319" i="15"/>
  <c r="D320" i="15"/>
  <c r="D321" i="15"/>
  <c r="D322" i="15"/>
  <c r="D323" i="15"/>
  <c r="D343" i="15"/>
  <c r="D344" i="15"/>
  <c r="D345" i="15"/>
  <c r="D346" i="15"/>
  <c r="D347" i="15"/>
  <c r="D348" i="15"/>
  <c r="D349" i="15"/>
  <c r="D350" i="15"/>
  <c r="C305" i="15"/>
  <c r="C325" i="15"/>
  <c r="C326" i="15"/>
  <c r="C327" i="15"/>
  <c r="C328" i="15"/>
  <c r="C329" i="15"/>
  <c r="C330" i="15"/>
  <c r="C331" i="15"/>
  <c r="C332" i="15"/>
  <c r="C333" i="15"/>
  <c r="C334" i="15"/>
  <c r="C335" i="15"/>
  <c r="C336" i="15"/>
  <c r="C337" i="15"/>
  <c r="C338" i="15"/>
  <c r="C339" i="15"/>
  <c r="C340" i="15"/>
  <c r="C341" i="15"/>
  <c r="C342" i="15"/>
  <c r="C301" i="15"/>
  <c r="D301" i="15"/>
  <c r="E301" i="15"/>
  <c r="F301" i="15"/>
  <c r="G301" i="15"/>
  <c r="H301" i="15"/>
  <c r="C302" i="15"/>
  <c r="D302" i="15"/>
  <c r="E302" i="15"/>
  <c r="F302" i="15"/>
  <c r="G302" i="15"/>
  <c r="H302" i="15"/>
  <c r="C303" i="15"/>
  <c r="D303" i="15"/>
  <c r="E303" i="15"/>
  <c r="F303" i="15"/>
  <c r="G303" i="15"/>
  <c r="H303" i="15"/>
  <c r="C304" i="15"/>
  <c r="D304" i="15"/>
  <c r="E304" i="15"/>
  <c r="F304" i="15"/>
  <c r="G304" i="15"/>
  <c r="H304" i="15"/>
  <c r="C306" i="15"/>
  <c r="C307" i="15"/>
  <c r="C308" i="15"/>
  <c r="C309" i="15"/>
  <c r="C310" i="15"/>
  <c r="C311" i="15"/>
  <c r="C312" i="15"/>
  <c r="C313" i="15"/>
  <c r="C314" i="15"/>
  <c r="C315" i="15"/>
  <c r="C316" i="15"/>
  <c r="C317" i="15"/>
  <c r="C318" i="15"/>
  <c r="C319" i="15"/>
  <c r="C320" i="15"/>
  <c r="C321" i="15"/>
  <c r="C322" i="15"/>
  <c r="C323" i="15"/>
  <c r="AK1" i="2" l="1"/>
  <c r="AJ69" i="2"/>
  <c r="AJ2" i="2" s="1"/>
  <c r="AG1" i="2"/>
  <c r="AH1" i="2"/>
  <c r="AL1" i="2"/>
  <c r="AI1" i="2"/>
  <c r="AJ1" i="2"/>
  <c r="AG69" i="2"/>
  <c r="AG2" i="2" s="1"/>
  <c r="AK69" i="2"/>
  <c r="AK2" i="2" s="1"/>
  <c r="AI69" i="2"/>
  <c r="AI2" i="2" s="1"/>
  <c r="AH69" i="2"/>
  <c r="AH2" i="2" s="1"/>
  <c r="AL69" i="2"/>
  <c r="AL2" i="2" s="1"/>
  <c r="B30" i="4"/>
  <c r="B29" i="4"/>
  <c r="B20" i="4"/>
  <c r="B18" i="4"/>
  <c r="B17" i="4"/>
  <c r="B13" i="4"/>
  <c r="B12" i="4"/>
  <c r="D28" i="17" l="1"/>
  <c r="D33" i="17"/>
  <c r="D42" i="17"/>
  <c r="D46" i="17"/>
  <c r="D50" i="17"/>
  <c r="D51" i="17"/>
  <c r="D49" i="17"/>
  <c r="D48" i="17"/>
  <c r="D47" i="17"/>
  <c r="D45" i="17"/>
  <c r="D44" i="17"/>
  <c r="D43" i="17"/>
  <c r="D41" i="17"/>
  <c r="D40" i="17"/>
  <c r="D39" i="17"/>
  <c r="D38" i="17"/>
  <c r="D37" i="17"/>
  <c r="D36" i="17"/>
  <c r="D35" i="17"/>
  <c r="D34" i="17"/>
  <c r="D32" i="17"/>
  <c r="D31" i="17"/>
  <c r="D30" i="17"/>
  <c r="D29" i="17"/>
  <c r="D27" i="17"/>
  <c r="D25" i="17"/>
  <c r="AC13" i="2"/>
  <c r="H221" i="15" s="1"/>
  <c r="AC14" i="2"/>
  <c r="H222" i="15" s="1"/>
  <c r="AC15" i="2"/>
  <c r="H223" i="15" s="1"/>
  <c r="AC17" i="2"/>
  <c r="H225" i="15" s="1"/>
  <c r="AC19" i="2"/>
  <c r="H227" i="15" s="1"/>
  <c r="AB13" i="2"/>
  <c r="G221" i="15" s="1"/>
  <c r="AB14" i="2"/>
  <c r="G222" i="15" s="1"/>
  <c r="AB15" i="2"/>
  <c r="G223" i="15" s="1"/>
  <c r="AB17" i="2"/>
  <c r="G225" i="15" s="1"/>
  <c r="AB19" i="2"/>
  <c r="G227" i="15" s="1"/>
  <c r="AC5" i="2"/>
  <c r="H213" i="15" s="1"/>
  <c r="AC6" i="2"/>
  <c r="H214" i="15" s="1"/>
  <c r="AC7" i="2"/>
  <c r="H215" i="15" s="1"/>
  <c r="AC8" i="2"/>
  <c r="H216" i="15" s="1"/>
  <c r="AC9" i="2"/>
  <c r="H217" i="15" s="1"/>
  <c r="AC10" i="2"/>
  <c r="H218" i="15" s="1"/>
  <c r="AC11" i="2"/>
  <c r="H219" i="15" s="1"/>
  <c r="AC12" i="2"/>
  <c r="H220" i="15" s="1"/>
  <c r="AC16" i="2"/>
  <c r="H224" i="15" s="1"/>
  <c r="AC18" i="2"/>
  <c r="H226" i="15" s="1"/>
  <c r="AC21" i="2"/>
  <c r="H229" i="15" s="1"/>
  <c r="AC22" i="2"/>
  <c r="H230" i="15" s="1"/>
  <c r="AC23" i="2"/>
  <c r="H231" i="15" s="1"/>
  <c r="AC24" i="2"/>
  <c r="H232" i="15" s="1"/>
  <c r="AB4" i="2"/>
  <c r="G212" i="15" s="1"/>
  <c r="AB5" i="2"/>
  <c r="G213" i="15" s="1"/>
  <c r="AB6" i="2"/>
  <c r="G214" i="15" s="1"/>
  <c r="AB7" i="2"/>
  <c r="G215" i="15" s="1"/>
  <c r="AB8" i="2"/>
  <c r="G216" i="15" s="1"/>
  <c r="AB9" i="2"/>
  <c r="G217" i="15" s="1"/>
  <c r="AB10" i="2"/>
  <c r="G218" i="15" s="1"/>
  <c r="AB11" i="2"/>
  <c r="G219" i="15" s="1"/>
  <c r="AB12" i="2"/>
  <c r="G220" i="15" s="1"/>
  <c r="AB16" i="2"/>
  <c r="G224" i="15" s="1"/>
  <c r="AB18" i="2"/>
  <c r="G226" i="15" s="1"/>
  <c r="AB21" i="2"/>
  <c r="G229" i="15" s="1"/>
  <c r="AB22" i="2"/>
  <c r="G230" i="15" s="1"/>
  <c r="AB23" i="2"/>
  <c r="G231" i="15" s="1"/>
  <c r="AB24" i="2"/>
  <c r="G232" i="15" s="1"/>
  <c r="AA13" i="2"/>
  <c r="F221" i="15" s="1"/>
  <c r="AA14" i="2"/>
  <c r="F222" i="15" s="1"/>
  <c r="AA15" i="2"/>
  <c r="F223" i="15" s="1"/>
  <c r="AA17" i="2"/>
  <c r="F225" i="15" s="1"/>
  <c r="AA19" i="2"/>
  <c r="F227" i="15" s="1"/>
  <c r="Z13" i="2"/>
  <c r="E221" i="15" s="1"/>
  <c r="Z14" i="2"/>
  <c r="E222" i="15" s="1"/>
  <c r="Z15" i="2"/>
  <c r="E223" i="15" s="1"/>
  <c r="Z17" i="2"/>
  <c r="E225" i="15" s="1"/>
  <c r="Z19" i="2"/>
  <c r="E227" i="15" s="1"/>
  <c r="F56" i="17"/>
  <c r="F68" i="17"/>
  <c r="F67" i="17"/>
  <c r="P2" i="2"/>
  <c r="F69" i="17" l="1"/>
  <c r="AA12" i="2" l="1"/>
  <c r="F220" i="15" s="1"/>
  <c r="AA11" i="2"/>
  <c r="F219" i="15" s="1"/>
  <c r="AA10" i="2"/>
  <c r="F218" i="15" s="1"/>
  <c r="AA9" i="2"/>
  <c r="F217" i="15" s="1"/>
  <c r="AA8" i="2"/>
  <c r="F216" i="15" s="1"/>
  <c r="AA7" i="2"/>
  <c r="F215" i="15" s="1"/>
  <c r="AA6" i="2"/>
  <c r="F214" i="15" s="1"/>
  <c r="AA21" i="2"/>
  <c r="F229" i="15" s="1"/>
  <c r="AA16" i="2"/>
  <c r="F224" i="15" s="1"/>
  <c r="AA24" i="2"/>
  <c r="F232" i="15" s="1"/>
  <c r="AA5" i="2"/>
  <c r="F213" i="15" s="1"/>
  <c r="AA23" i="2"/>
  <c r="F231" i="15" s="1"/>
  <c r="AA4" i="2"/>
  <c r="F212" i="15" s="1"/>
  <c r="K49" i="15"/>
  <c r="AA22" i="2"/>
  <c r="F230" i="15" s="1"/>
  <c r="Z7" i="2"/>
  <c r="E215" i="15" s="1"/>
  <c r="Z6" i="2"/>
  <c r="E214" i="15" s="1"/>
  <c r="Z21" i="2"/>
  <c r="E229" i="15" s="1"/>
  <c r="Q16" i="2"/>
  <c r="Z16" i="2"/>
  <c r="E224" i="15" s="1"/>
  <c r="Z12" i="2"/>
  <c r="E220" i="15" s="1"/>
  <c r="Z8" i="2"/>
  <c r="E216" i="15" s="1"/>
  <c r="Z11" i="2"/>
  <c r="E219" i="15" s="1"/>
  <c r="Z10" i="2"/>
  <c r="E218" i="15" s="1"/>
  <c r="Z9" i="2"/>
  <c r="E217" i="15" s="1"/>
  <c r="K48" i="15"/>
  <c r="AA18" i="2"/>
  <c r="F226" i="15" s="1"/>
  <c r="Y2" i="2"/>
  <c r="D210" i="15" s="1"/>
  <c r="Y3" i="2"/>
  <c r="D211" i="15" s="1"/>
  <c r="C29" i="17" s="1"/>
  <c r="F30" i="14" s="1"/>
  <c r="Y4" i="2"/>
  <c r="D212" i="15" s="1"/>
  <c r="C30" i="17" s="1"/>
  <c r="F31" i="14" s="1"/>
  <c r="Y5" i="2"/>
  <c r="D213" i="15" s="1"/>
  <c r="C31" i="17" s="1"/>
  <c r="F32" i="14" s="1"/>
  <c r="Y6" i="2"/>
  <c r="D214" i="15" s="1"/>
  <c r="C32" i="17" s="1"/>
  <c r="F33" i="14" s="1"/>
  <c r="Y7" i="2"/>
  <c r="D215" i="15" s="1"/>
  <c r="C34" i="17" s="1"/>
  <c r="F35" i="14" s="1"/>
  <c r="Y8" i="2"/>
  <c r="D216" i="15" s="1"/>
  <c r="Y9" i="2"/>
  <c r="D217" i="15" s="1"/>
  <c r="C36" i="17" s="1"/>
  <c r="F37" i="14" s="1"/>
  <c r="Y10" i="2"/>
  <c r="D218" i="15" s="1"/>
  <c r="C37" i="17" s="1"/>
  <c r="F38" i="14" s="1"/>
  <c r="Y11" i="2"/>
  <c r="D219" i="15" s="1"/>
  <c r="C38" i="17" s="1"/>
  <c r="F39" i="14" s="1"/>
  <c r="Y12" i="2"/>
  <c r="D220" i="15" s="1"/>
  <c r="C39" i="17" s="1"/>
  <c r="F40" i="14" s="1"/>
  <c r="Y13" i="2"/>
  <c r="D221" i="15" s="1"/>
  <c r="C40" i="17" s="1"/>
  <c r="F41" i="14" s="1"/>
  <c r="Y14" i="2"/>
  <c r="D222" i="15" s="1"/>
  <c r="C41" i="17" s="1"/>
  <c r="Y15" i="2"/>
  <c r="D223" i="15" s="1"/>
  <c r="C43" i="17" s="1"/>
  <c r="F47" i="14" s="1"/>
  <c r="Y16" i="2"/>
  <c r="D224" i="15" s="1"/>
  <c r="C44" i="17" s="1"/>
  <c r="F48" i="14" s="1"/>
  <c r="Y17" i="2"/>
  <c r="D225" i="15" s="1"/>
  <c r="C47" i="17" s="1"/>
  <c r="F51" i="14" s="1"/>
  <c r="Y18" i="2"/>
  <c r="D226" i="15" s="1"/>
  <c r="C48" i="17" s="1"/>
  <c r="F52" i="14" s="1"/>
  <c r="Y19" i="2"/>
  <c r="D227" i="15" s="1"/>
  <c r="C51" i="17" s="1"/>
  <c r="F55" i="14" s="1"/>
  <c r="Y20" i="2"/>
  <c r="D228" i="15" s="1"/>
  <c r="C79" i="17"/>
  <c r="B73" i="17"/>
  <c r="B72" i="17"/>
  <c r="B3" i="17"/>
  <c r="B2" i="17"/>
  <c r="B1" i="17"/>
  <c r="AJ8" i="12"/>
  <c r="AJ9" i="12"/>
  <c r="AJ10" i="12"/>
  <c r="AJ11" i="12"/>
  <c r="AJ12" i="12"/>
  <c r="AJ13"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J536" i="12"/>
  <c r="AJ537" i="12"/>
  <c r="AJ538" i="12"/>
  <c r="AJ539" i="12"/>
  <c r="AJ540" i="12"/>
  <c r="AJ541" i="12"/>
  <c r="AJ542" i="12"/>
  <c r="AJ543" i="12"/>
  <c r="AJ544" i="12"/>
  <c r="AJ545" i="12"/>
  <c r="AJ546" i="12"/>
  <c r="AJ547" i="12"/>
  <c r="AJ548" i="12"/>
  <c r="AJ549" i="12"/>
  <c r="AJ550" i="12"/>
  <c r="AJ551" i="12"/>
  <c r="AJ552" i="12"/>
  <c r="AJ553" i="12"/>
  <c r="AJ554" i="12"/>
  <c r="AJ555" i="12"/>
  <c r="AJ556" i="12"/>
  <c r="AJ557" i="12"/>
  <c r="AJ558" i="12"/>
  <c r="AJ559" i="12"/>
  <c r="AJ560" i="12"/>
  <c r="AJ561" i="12"/>
  <c r="AJ562" i="12"/>
  <c r="AJ563" i="12"/>
  <c r="AJ564" i="12"/>
  <c r="AJ565" i="12"/>
  <c r="AJ566" i="12"/>
  <c r="AJ567" i="12"/>
  <c r="AJ568" i="12"/>
  <c r="AJ569" i="12"/>
  <c r="AJ570" i="12"/>
  <c r="AJ571" i="12"/>
  <c r="AJ572" i="12"/>
  <c r="AJ573" i="12"/>
  <c r="AJ574" i="12"/>
  <c r="AJ575" i="12"/>
  <c r="AJ576" i="12"/>
  <c r="AJ577" i="12"/>
  <c r="AJ578" i="12"/>
  <c r="AJ579" i="12"/>
  <c r="AJ580" i="12"/>
  <c r="AJ581" i="12"/>
  <c r="AJ582" i="12"/>
  <c r="AJ583" i="12"/>
  <c r="AJ584" i="12"/>
  <c r="AJ585" i="12"/>
  <c r="AJ586" i="12"/>
  <c r="AJ587" i="12"/>
  <c r="AJ588" i="12"/>
  <c r="AJ589" i="12"/>
  <c r="AJ590" i="12"/>
  <c r="AJ591" i="12"/>
  <c r="AJ592" i="12"/>
  <c r="AJ593" i="12"/>
  <c r="AJ594" i="12"/>
  <c r="AJ595" i="12"/>
  <c r="AJ596" i="12"/>
  <c r="AJ597" i="12"/>
  <c r="AJ598" i="12"/>
  <c r="AJ599" i="12"/>
  <c r="AJ600" i="12"/>
  <c r="AJ601" i="12"/>
  <c r="AJ602" i="12"/>
  <c r="AJ603" i="12"/>
  <c r="AJ604" i="12"/>
  <c r="AJ605" i="12"/>
  <c r="AJ606" i="12"/>
  <c r="AJ607" i="12"/>
  <c r="AJ608" i="12"/>
  <c r="AJ609" i="12"/>
  <c r="AJ610" i="12"/>
  <c r="AJ611" i="12"/>
  <c r="AJ612" i="12"/>
  <c r="AJ613" i="12"/>
  <c r="AJ614" i="12"/>
  <c r="AJ615" i="12"/>
  <c r="AJ616" i="12"/>
  <c r="AJ617" i="12"/>
  <c r="AJ618" i="12"/>
  <c r="AJ619" i="12"/>
  <c r="AJ620" i="12"/>
  <c r="AJ621" i="12"/>
  <c r="AJ622" i="12"/>
  <c r="AJ623" i="12"/>
  <c r="AJ624" i="12"/>
  <c r="AJ625" i="12"/>
  <c r="AJ626" i="12"/>
  <c r="AJ627" i="12"/>
  <c r="AJ628" i="12"/>
  <c r="AJ629" i="12"/>
  <c r="AJ630" i="12"/>
  <c r="AJ631" i="12"/>
  <c r="AJ632" i="12"/>
  <c r="AJ633" i="12"/>
  <c r="AJ634" i="12"/>
  <c r="AJ635" i="12"/>
  <c r="AJ636" i="12"/>
  <c r="AJ637" i="12"/>
  <c r="AJ638" i="12"/>
  <c r="AJ639" i="12"/>
  <c r="AJ640" i="12"/>
  <c r="AJ641" i="12"/>
  <c r="AJ642" i="12"/>
  <c r="AJ643" i="12"/>
  <c r="AJ644" i="12"/>
  <c r="AJ645" i="12"/>
  <c r="AJ646" i="12"/>
  <c r="AJ647" i="12"/>
  <c r="AJ648" i="12"/>
  <c r="AJ649" i="12"/>
  <c r="AJ650" i="12"/>
  <c r="AJ651" i="12"/>
  <c r="AJ652" i="12"/>
  <c r="AJ653" i="12"/>
  <c r="AJ654" i="12"/>
  <c r="AJ655" i="12"/>
  <c r="AJ656" i="12"/>
  <c r="AJ657" i="12"/>
  <c r="AJ658" i="12"/>
  <c r="AJ659" i="12"/>
  <c r="AJ660" i="12"/>
  <c r="AJ661" i="12"/>
  <c r="AJ662" i="12"/>
  <c r="AJ663" i="12"/>
  <c r="AJ664" i="12"/>
  <c r="AJ665" i="12"/>
  <c r="AJ666" i="12"/>
  <c r="AJ667" i="12"/>
  <c r="AJ668" i="12"/>
  <c r="AJ669" i="12"/>
  <c r="AJ670" i="12"/>
  <c r="AJ671" i="12"/>
  <c r="AJ672" i="12"/>
  <c r="AJ673" i="12"/>
  <c r="AJ674" i="12"/>
  <c r="AJ675" i="12"/>
  <c r="AJ676" i="12"/>
  <c r="AJ677" i="12"/>
  <c r="AJ678" i="12"/>
  <c r="AJ679" i="12"/>
  <c r="AJ680" i="12"/>
  <c r="AJ681" i="12"/>
  <c r="AJ682" i="12"/>
  <c r="AJ683" i="12"/>
  <c r="AJ684" i="12"/>
  <c r="AJ685" i="12"/>
  <c r="AJ686" i="12"/>
  <c r="AJ687" i="12"/>
  <c r="AJ688" i="12"/>
  <c r="AJ689" i="12"/>
  <c r="AJ690" i="12"/>
  <c r="AJ691" i="12"/>
  <c r="AJ692" i="12"/>
  <c r="AJ693" i="12"/>
  <c r="AJ694" i="12"/>
  <c r="AJ695" i="12"/>
  <c r="AJ696" i="12"/>
  <c r="AJ697" i="12"/>
  <c r="AJ698" i="12"/>
  <c r="AJ699" i="12"/>
  <c r="AJ700" i="12"/>
  <c r="AJ701" i="12"/>
  <c r="AJ702" i="12"/>
  <c r="AJ703" i="12"/>
  <c r="AJ704" i="12"/>
  <c r="AJ705" i="12"/>
  <c r="AJ706" i="12"/>
  <c r="AJ707" i="12"/>
  <c r="AJ708" i="12"/>
  <c r="AJ709" i="12"/>
  <c r="AJ710" i="12"/>
  <c r="AJ711" i="12"/>
  <c r="AJ712" i="12"/>
  <c r="AJ713" i="12"/>
  <c r="AJ714" i="12"/>
  <c r="AJ715" i="12"/>
  <c r="AJ716" i="12"/>
  <c r="AJ744" i="12"/>
  <c r="AJ745" i="12"/>
  <c r="AJ746" i="12"/>
  <c r="AJ747" i="12"/>
  <c r="AJ748" i="12"/>
  <c r="AJ749" i="12"/>
  <c r="AJ750" i="12"/>
  <c r="AJ751" i="12"/>
  <c r="AJ752" i="12"/>
  <c r="AJ753" i="12"/>
  <c r="AJ754" i="12"/>
  <c r="AJ755" i="12"/>
  <c r="AJ756" i="12"/>
  <c r="AJ757" i="12"/>
  <c r="AJ758" i="12"/>
  <c r="AJ759" i="12"/>
  <c r="AJ760" i="12"/>
  <c r="AJ761" i="12"/>
  <c r="AJ762" i="12"/>
  <c r="AJ763" i="12"/>
  <c r="AJ764" i="12"/>
  <c r="AJ765" i="12"/>
  <c r="AJ766" i="12"/>
  <c r="AJ767" i="12"/>
  <c r="AJ768" i="12"/>
  <c r="AJ769" i="12"/>
  <c r="AJ7" i="12"/>
  <c r="Z18" i="2" l="1"/>
  <c r="E226" i="15" s="1"/>
  <c r="C35" i="17"/>
  <c r="F36" i="14" s="1"/>
  <c r="D233" i="15"/>
  <c r="Z20" i="2"/>
  <c r="E228" i="15" s="1"/>
  <c r="Z22" i="2"/>
  <c r="E230" i="15" s="1"/>
  <c r="Q23" i="2"/>
  <c r="E63" i="15" s="1"/>
  <c r="G63" i="15" s="1"/>
  <c r="C59" i="14" s="1"/>
  <c r="AA3" i="2"/>
  <c r="F211" i="15" s="1"/>
  <c r="Q24" i="2"/>
  <c r="E64" i="15" s="1"/>
  <c r="G64" i="15" s="1"/>
  <c r="C60" i="14" s="1"/>
  <c r="Z23" i="2"/>
  <c r="E231" i="15" s="1"/>
  <c r="Z4" i="2"/>
  <c r="E212" i="15" s="1"/>
  <c r="Z24" i="2"/>
  <c r="E232" i="15" s="1"/>
  <c r="Z5" i="2"/>
  <c r="E213" i="15" s="1"/>
  <c r="Z3" i="2"/>
  <c r="E211" i="15" s="1"/>
  <c r="Z2" i="2"/>
  <c r="E210" i="15" s="1"/>
  <c r="AA2" i="2"/>
  <c r="AA20" i="2"/>
  <c r="F228" i="15" s="1"/>
  <c r="C27" i="17"/>
  <c r="F28" i="14" s="1"/>
  <c r="Y25" i="2"/>
  <c r="E43" i="17"/>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E233" i="15" l="1"/>
  <c r="AA25" i="2"/>
  <c r="F210" i="15"/>
  <c r="F233" i="15" s="1"/>
  <c r="F43" i="17"/>
  <c r="A7" i="12"/>
  <c r="AI7" i="8"/>
  <c r="C16" i="1" l="1"/>
  <c r="C170" i="15" l="1"/>
  <c r="H48" i="3" l="1"/>
  <c r="H6" i="3" s="1"/>
  <c r="F109" i="6" l="1"/>
  <c r="D112" i="16" l="1"/>
  <c r="H70" i="15" l="1"/>
  <c r="D126" i="16"/>
  <c r="G126" i="16"/>
  <c r="H126" i="16" s="1"/>
  <c r="I126" i="16"/>
  <c r="D127" i="16"/>
  <c r="G127" i="16"/>
  <c r="H127" i="16" s="1"/>
  <c r="I127" i="16"/>
  <c r="G112" i="16"/>
  <c r="H112" i="16" s="1"/>
  <c r="I112" i="16"/>
  <c r="A19" i="8" l="1"/>
  <c r="I98" i="16" l="1"/>
  <c r="I99" i="16"/>
  <c r="I100" i="16"/>
  <c r="I101" i="16"/>
  <c r="I102" i="16"/>
  <c r="I103" i="16"/>
  <c r="I104" i="16"/>
  <c r="I105" i="16"/>
  <c r="I106" i="16"/>
  <c r="I107" i="16"/>
  <c r="I108" i="16"/>
  <c r="I109" i="16"/>
  <c r="I110" i="16"/>
  <c r="I111" i="16"/>
  <c r="I113" i="16"/>
  <c r="I114" i="16"/>
  <c r="I115" i="16"/>
  <c r="I116" i="16"/>
  <c r="I117" i="16"/>
  <c r="I118" i="16"/>
  <c r="I119" i="16"/>
  <c r="I120" i="16"/>
  <c r="I121" i="16"/>
  <c r="I122" i="16"/>
  <c r="I123" i="16"/>
  <c r="I124" i="16"/>
  <c r="I125" i="16"/>
  <c r="I128" i="16"/>
  <c r="I129" i="16"/>
  <c r="I130" i="16"/>
  <c r="I131" i="16"/>
  <c r="I97"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18" i="16"/>
  <c r="G98" i="16"/>
  <c r="H98" i="16" s="1"/>
  <c r="G99" i="16"/>
  <c r="H99" i="16" s="1"/>
  <c r="G100" i="16"/>
  <c r="H100" i="16" s="1"/>
  <c r="G101" i="16"/>
  <c r="H101" i="16" s="1"/>
  <c r="G102" i="16"/>
  <c r="H102" i="16" s="1"/>
  <c r="G103" i="16"/>
  <c r="H103" i="16" s="1"/>
  <c r="G104" i="16"/>
  <c r="H104" i="16" s="1"/>
  <c r="G105" i="16"/>
  <c r="H105" i="16" s="1"/>
  <c r="G106" i="16"/>
  <c r="H106" i="16" s="1"/>
  <c r="G107" i="16"/>
  <c r="H107" i="16" s="1"/>
  <c r="G108" i="16"/>
  <c r="H108" i="16" s="1"/>
  <c r="G109" i="16"/>
  <c r="H109" i="16" s="1"/>
  <c r="G110" i="16"/>
  <c r="H110" i="16" s="1"/>
  <c r="G111" i="16"/>
  <c r="H111" i="16" s="1"/>
  <c r="G113" i="16"/>
  <c r="H113" i="16" s="1"/>
  <c r="G114" i="16"/>
  <c r="H114" i="16" s="1"/>
  <c r="G115" i="16"/>
  <c r="H115" i="16" s="1"/>
  <c r="G116" i="16"/>
  <c r="H116" i="16" s="1"/>
  <c r="G117" i="16"/>
  <c r="H117" i="16" s="1"/>
  <c r="G118" i="16"/>
  <c r="H118" i="16" s="1"/>
  <c r="G119" i="16"/>
  <c r="H119" i="16" s="1"/>
  <c r="G120" i="16"/>
  <c r="H120" i="16" s="1"/>
  <c r="G121" i="16"/>
  <c r="H121" i="16" s="1"/>
  <c r="G122" i="16"/>
  <c r="H122" i="16" s="1"/>
  <c r="G123" i="16"/>
  <c r="H123" i="16" s="1"/>
  <c r="G124" i="16"/>
  <c r="H124" i="16" s="1"/>
  <c r="G125" i="16"/>
  <c r="H125" i="16" s="1"/>
  <c r="G128" i="16"/>
  <c r="H128" i="16" s="1"/>
  <c r="G129" i="16"/>
  <c r="H129" i="16" s="1"/>
  <c r="G130" i="16"/>
  <c r="H130" i="16" s="1"/>
  <c r="G131" i="16"/>
  <c r="H131" i="16" s="1"/>
  <c r="G97" i="16"/>
  <c r="H97" i="16" s="1"/>
  <c r="G19" i="16"/>
  <c r="H19" i="16" s="1"/>
  <c r="G20" i="16"/>
  <c r="H20" i="16" s="1"/>
  <c r="G21" i="16"/>
  <c r="H21" i="16" s="1"/>
  <c r="G22" i="16"/>
  <c r="H22" i="16" s="1"/>
  <c r="G23" i="16"/>
  <c r="H23" i="16" s="1"/>
  <c r="G24" i="16"/>
  <c r="H24" i="16" s="1"/>
  <c r="G25" i="16"/>
  <c r="H25" i="16" s="1"/>
  <c r="G26" i="16"/>
  <c r="H26" i="16" s="1"/>
  <c r="G27" i="16"/>
  <c r="H27" i="16" s="1"/>
  <c r="G28" i="16"/>
  <c r="H28" i="16" s="1"/>
  <c r="G29" i="16"/>
  <c r="H29" i="16" s="1"/>
  <c r="G30" i="16"/>
  <c r="H30" i="16" s="1"/>
  <c r="G31" i="16"/>
  <c r="H31" i="16" s="1"/>
  <c r="G32" i="16"/>
  <c r="H32" i="16" s="1"/>
  <c r="G33" i="16"/>
  <c r="H33" i="16" s="1"/>
  <c r="G34" i="16"/>
  <c r="H34" i="16" s="1"/>
  <c r="G35" i="16"/>
  <c r="H35" i="16" s="1"/>
  <c r="G36" i="16"/>
  <c r="H36" i="16" s="1"/>
  <c r="G37" i="16"/>
  <c r="H37" i="16" s="1"/>
  <c r="G38" i="16"/>
  <c r="H38" i="16" s="1"/>
  <c r="G39" i="16"/>
  <c r="H39" i="16" s="1"/>
  <c r="G40" i="16"/>
  <c r="H40" i="16" s="1"/>
  <c r="G41" i="16"/>
  <c r="H41" i="16" s="1"/>
  <c r="G42" i="16"/>
  <c r="H42" i="16" s="1"/>
  <c r="G43" i="16"/>
  <c r="H43" i="16" s="1"/>
  <c r="G44" i="16"/>
  <c r="H44" i="16" s="1"/>
  <c r="G45" i="16"/>
  <c r="H45" i="16" s="1"/>
  <c r="G46" i="16"/>
  <c r="H46" i="16" s="1"/>
  <c r="G47" i="16"/>
  <c r="H47" i="16" s="1"/>
  <c r="G48" i="16"/>
  <c r="H48" i="16" s="1"/>
  <c r="G49" i="16"/>
  <c r="H49" i="16" s="1"/>
  <c r="G50" i="16"/>
  <c r="H50" i="16" s="1"/>
  <c r="G51" i="16"/>
  <c r="H51" i="16" s="1"/>
  <c r="G52" i="16"/>
  <c r="H52" i="16" s="1"/>
  <c r="G53" i="16"/>
  <c r="H53" i="16" s="1"/>
  <c r="G54" i="16"/>
  <c r="H54" i="16" s="1"/>
  <c r="G55" i="16"/>
  <c r="H55" i="16" s="1"/>
  <c r="G56" i="16"/>
  <c r="H56" i="16" s="1"/>
  <c r="G57" i="16"/>
  <c r="H57" i="16" s="1"/>
  <c r="G58" i="16"/>
  <c r="H58" i="16" s="1"/>
  <c r="G59" i="16"/>
  <c r="H59" i="16" s="1"/>
  <c r="G60" i="16"/>
  <c r="H60" i="16" s="1"/>
  <c r="G61" i="16"/>
  <c r="H61" i="16" s="1"/>
  <c r="G62" i="16"/>
  <c r="H62" i="16" s="1"/>
  <c r="G63" i="16"/>
  <c r="H63" i="16" s="1"/>
  <c r="G64" i="16"/>
  <c r="H64" i="16" s="1"/>
  <c r="G65" i="16"/>
  <c r="H65" i="16" s="1"/>
  <c r="G66" i="16"/>
  <c r="H66" i="16" s="1"/>
  <c r="G67" i="16"/>
  <c r="H67" i="16" s="1"/>
  <c r="G68" i="16"/>
  <c r="H68" i="16" s="1"/>
  <c r="G69" i="16"/>
  <c r="H69" i="16" s="1"/>
  <c r="G70" i="16"/>
  <c r="H70" i="16" s="1"/>
  <c r="G71" i="16"/>
  <c r="H71" i="16" s="1"/>
  <c r="G72" i="16"/>
  <c r="H72" i="16" s="1"/>
  <c r="G73" i="16"/>
  <c r="H73" i="16" s="1"/>
  <c r="G74" i="16"/>
  <c r="H74" i="16" s="1"/>
  <c r="G75" i="16"/>
  <c r="H75" i="16" s="1"/>
  <c r="G76" i="16"/>
  <c r="H76" i="16" s="1"/>
  <c r="G77" i="16"/>
  <c r="H77" i="16" s="1"/>
  <c r="G78" i="16"/>
  <c r="H78" i="16" s="1"/>
  <c r="G79" i="16"/>
  <c r="H79" i="16" s="1"/>
  <c r="G80" i="16"/>
  <c r="H80" i="16" s="1"/>
  <c r="G81" i="16"/>
  <c r="H81" i="16" s="1"/>
  <c r="G82" i="16"/>
  <c r="H82" i="16" s="1"/>
  <c r="G83" i="16"/>
  <c r="H83" i="16" s="1"/>
  <c r="G84" i="16"/>
  <c r="H84" i="16" s="1"/>
  <c r="G85" i="16"/>
  <c r="H85" i="16" s="1"/>
  <c r="G86" i="16"/>
  <c r="H86" i="16" s="1"/>
  <c r="G87" i="16"/>
  <c r="H87" i="16" s="1"/>
  <c r="G88" i="16"/>
  <c r="H88" i="16" s="1"/>
  <c r="G89" i="16"/>
  <c r="H89" i="16" s="1"/>
  <c r="G90" i="16"/>
  <c r="H90" i="16" s="1"/>
  <c r="G91" i="16"/>
  <c r="H91" i="16" s="1"/>
  <c r="G92" i="16"/>
  <c r="H92" i="16" s="1"/>
  <c r="G93" i="16"/>
  <c r="H93" i="16" s="1"/>
  <c r="G94" i="16"/>
  <c r="H94" i="16" s="1"/>
  <c r="G95" i="16"/>
  <c r="H95" i="16" s="1"/>
  <c r="G96" i="16"/>
  <c r="H96" i="16" s="1"/>
  <c r="G18" i="16"/>
  <c r="H18" i="16" s="1"/>
  <c r="D98" i="16"/>
  <c r="D99" i="16"/>
  <c r="D100" i="16"/>
  <c r="D101" i="16"/>
  <c r="D102" i="16"/>
  <c r="D103" i="16"/>
  <c r="D104" i="16"/>
  <c r="D105" i="16"/>
  <c r="D106" i="16"/>
  <c r="D107" i="16"/>
  <c r="D108" i="16"/>
  <c r="D109" i="16"/>
  <c r="D110" i="16"/>
  <c r="D111" i="16"/>
  <c r="D113" i="16"/>
  <c r="D114" i="16"/>
  <c r="D115" i="16"/>
  <c r="D116" i="16"/>
  <c r="D117" i="16"/>
  <c r="D118" i="16"/>
  <c r="D119" i="16"/>
  <c r="D120" i="16"/>
  <c r="D121" i="16"/>
  <c r="D122" i="16"/>
  <c r="D123" i="16"/>
  <c r="D124" i="16"/>
  <c r="D125" i="16"/>
  <c r="D128" i="16"/>
  <c r="D129" i="16"/>
  <c r="D130" i="16"/>
  <c r="D131" i="16"/>
  <c r="D97"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18" i="16"/>
  <c r="B98" i="14"/>
  <c r="B97" i="14"/>
  <c r="AI8" i="12"/>
  <c r="AI9" i="12"/>
  <c r="AI10" i="12"/>
  <c r="AI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111" i="12"/>
  <c r="AI112" i="12"/>
  <c r="AI113" i="12"/>
  <c r="AI114" i="12"/>
  <c r="AI115" i="12"/>
  <c r="AI116" i="12"/>
  <c r="AI117" i="12"/>
  <c r="AI118" i="12"/>
  <c r="AI119" i="12"/>
  <c r="AI120" i="12"/>
  <c r="AI121" i="12"/>
  <c r="AI122" i="12"/>
  <c r="AI123" i="12"/>
  <c r="AI124" i="12"/>
  <c r="AI125" i="12"/>
  <c r="AI126" i="12"/>
  <c r="AI127" i="12"/>
  <c r="AI128" i="12"/>
  <c r="AI129" i="12"/>
  <c r="AI130" i="12"/>
  <c r="AI131" i="12"/>
  <c r="AI132" i="12"/>
  <c r="AI133" i="12"/>
  <c r="AI134" i="12"/>
  <c r="AI135" i="12"/>
  <c r="AI136" i="12"/>
  <c r="AI137" i="12"/>
  <c r="AI138" i="12"/>
  <c r="AI139" i="12"/>
  <c r="AI140" i="12"/>
  <c r="AI141" i="12"/>
  <c r="AI142" i="12"/>
  <c r="AI143" i="12"/>
  <c r="AI144" i="12"/>
  <c r="AI145" i="12"/>
  <c r="AI146" i="12"/>
  <c r="AI147" i="12"/>
  <c r="AI148" i="12"/>
  <c r="AI149" i="12"/>
  <c r="AI150" i="12"/>
  <c r="AI151" i="12"/>
  <c r="AI152" i="12"/>
  <c r="AI153" i="12"/>
  <c r="AI154" i="12"/>
  <c r="AI155" i="12"/>
  <c r="AI156" i="12"/>
  <c r="AI157" i="12"/>
  <c r="AI158" i="12"/>
  <c r="AI159" i="12"/>
  <c r="AI160" i="12"/>
  <c r="AI161" i="12"/>
  <c r="AI162" i="12"/>
  <c r="AI163" i="12"/>
  <c r="AI164" i="12"/>
  <c r="AI165" i="12"/>
  <c r="AI166" i="12"/>
  <c r="AI167" i="12"/>
  <c r="AI168" i="12"/>
  <c r="AI169" i="12"/>
  <c r="AI170" i="12"/>
  <c r="AI171" i="12"/>
  <c r="AI172" i="12"/>
  <c r="AI173" i="12"/>
  <c r="AI174" i="12"/>
  <c r="AI175" i="12"/>
  <c r="AI176" i="12"/>
  <c r="AI177" i="12"/>
  <c r="AI178" i="12"/>
  <c r="AI179" i="12"/>
  <c r="AI180" i="12"/>
  <c r="AI181" i="12"/>
  <c r="AI182" i="12"/>
  <c r="AI183" i="12"/>
  <c r="AI184" i="12"/>
  <c r="AI185" i="12"/>
  <c r="AI186" i="12"/>
  <c r="AI187" i="12"/>
  <c r="AI188" i="12"/>
  <c r="AI189" i="12"/>
  <c r="AI190" i="12"/>
  <c r="AI191" i="12"/>
  <c r="AI192" i="12"/>
  <c r="AI193" i="12"/>
  <c r="AI194" i="12"/>
  <c r="AI195" i="12"/>
  <c r="AI196" i="12"/>
  <c r="AI197" i="12"/>
  <c r="AI198" i="12"/>
  <c r="AI199" i="12"/>
  <c r="AI200" i="12"/>
  <c r="AI201" i="12"/>
  <c r="AI202" i="12"/>
  <c r="AI203" i="12"/>
  <c r="AI204" i="12"/>
  <c r="AI205" i="12"/>
  <c r="AI206" i="12"/>
  <c r="AI207" i="12"/>
  <c r="AI208" i="12"/>
  <c r="AI209" i="12"/>
  <c r="AI210" i="12"/>
  <c r="AI211" i="12"/>
  <c r="AI212" i="12"/>
  <c r="AI213" i="12"/>
  <c r="AI214" i="12"/>
  <c r="AI215" i="12"/>
  <c r="AI216" i="12"/>
  <c r="AI217" i="12"/>
  <c r="AI218" i="12"/>
  <c r="AI219" i="12"/>
  <c r="AI220" i="12"/>
  <c r="AI221" i="12"/>
  <c r="AI222" i="12"/>
  <c r="AI223" i="12"/>
  <c r="AI224" i="12"/>
  <c r="AI225" i="12"/>
  <c r="AI226" i="12"/>
  <c r="AI227" i="12"/>
  <c r="AI228" i="12"/>
  <c r="AI229" i="12"/>
  <c r="AI230" i="12"/>
  <c r="AI231" i="12"/>
  <c r="AI232" i="12"/>
  <c r="AI233" i="12"/>
  <c r="AI234" i="12"/>
  <c r="AI235" i="12"/>
  <c r="AI236" i="12"/>
  <c r="AI237" i="12"/>
  <c r="AI238" i="12"/>
  <c r="AI239" i="12"/>
  <c r="AI240" i="12"/>
  <c r="AI241" i="12"/>
  <c r="AI242" i="12"/>
  <c r="AI243" i="12"/>
  <c r="AI244" i="12"/>
  <c r="AI245" i="12"/>
  <c r="AI246" i="12"/>
  <c r="AI247" i="12"/>
  <c r="AI248" i="12"/>
  <c r="AI249" i="12"/>
  <c r="AI250" i="12"/>
  <c r="AI251" i="12"/>
  <c r="AI252" i="12"/>
  <c r="AI253" i="12"/>
  <c r="AI254" i="12"/>
  <c r="AI255" i="12"/>
  <c r="AI256" i="12"/>
  <c r="AI257" i="12"/>
  <c r="AI258" i="12"/>
  <c r="AI259" i="12"/>
  <c r="AI260" i="12"/>
  <c r="AI261" i="12"/>
  <c r="AI262" i="12"/>
  <c r="AI263" i="12"/>
  <c r="AI264" i="12"/>
  <c r="AI265" i="12"/>
  <c r="AI266" i="12"/>
  <c r="AI267" i="12"/>
  <c r="AI268" i="12"/>
  <c r="AI269" i="12"/>
  <c r="AI270" i="12"/>
  <c r="AI271" i="12"/>
  <c r="AI272" i="12"/>
  <c r="AI273" i="12"/>
  <c r="AI274" i="12"/>
  <c r="AI275" i="12"/>
  <c r="AI276" i="12"/>
  <c r="AI277" i="12"/>
  <c r="AI278" i="12"/>
  <c r="AI279" i="12"/>
  <c r="AI512" i="12"/>
  <c r="AI513" i="12"/>
  <c r="AI514" i="12"/>
  <c r="AI515" i="12"/>
  <c r="AI516" i="12"/>
  <c r="AI517" i="12"/>
  <c r="AI518" i="12"/>
  <c r="AI519" i="12"/>
  <c r="AI520" i="12"/>
  <c r="AI521" i="12"/>
  <c r="AI522" i="12"/>
  <c r="AI523" i="12"/>
  <c r="AI524" i="12"/>
  <c r="AI525" i="12"/>
  <c r="AI526" i="12"/>
  <c r="AI527" i="12"/>
  <c r="AI528" i="12"/>
  <c r="AI529" i="12"/>
  <c r="AI530" i="12"/>
  <c r="AI531" i="12"/>
  <c r="AI532" i="12"/>
  <c r="AI533" i="12"/>
  <c r="AI534" i="12"/>
  <c r="AI535" i="12"/>
  <c r="AI536" i="12"/>
  <c r="AI537" i="12"/>
  <c r="AI538" i="12"/>
  <c r="AI539" i="12"/>
  <c r="AI540" i="12"/>
  <c r="AI541" i="12"/>
  <c r="AI542" i="12"/>
  <c r="AI543" i="12"/>
  <c r="AI544" i="12"/>
  <c r="AI545" i="12"/>
  <c r="AI546" i="12"/>
  <c r="AI547" i="12"/>
  <c r="AI548" i="12"/>
  <c r="AI549" i="12"/>
  <c r="AI550" i="12"/>
  <c r="AI551" i="12"/>
  <c r="AI552" i="12"/>
  <c r="AI553" i="12"/>
  <c r="AI554" i="12"/>
  <c r="AI555" i="12"/>
  <c r="AI556" i="12"/>
  <c r="AI557" i="12"/>
  <c r="AI558" i="12"/>
  <c r="AI559" i="12"/>
  <c r="AI560" i="12"/>
  <c r="AI561" i="12"/>
  <c r="AI562" i="12"/>
  <c r="AI563" i="12"/>
  <c r="AI564" i="12"/>
  <c r="AI565" i="12"/>
  <c r="AI566" i="12"/>
  <c r="AI567" i="12"/>
  <c r="AI568" i="12"/>
  <c r="AI569" i="12"/>
  <c r="AI570" i="12"/>
  <c r="AI571" i="12"/>
  <c r="AI572" i="12"/>
  <c r="AI573" i="12"/>
  <c r="AI574" i="12"/>
  <c r="AI575" i="12"/>
  <c r="AI576" i="12"/>
  <c r="AI577" i="12"/>
  <c r="AI578" i="12"/>
  <c r="AI579" i="12"/>
  <c r="AI580" i="12"/>
  <c r="AI581" i="12"/>
  <c r="AI582" i="12"/>
  <c r="AI583" i="12"/>
  <c r="AI584" i="12"/>
  <c r="AI585" i="12"/>
  <c r="AI586" i="12"/>
  <c r="AI587" i="12"/>
  <c r="AI588" i="12"/>
  <c r="AI589" i="12"/>
  <c r="AI590" i="12"/>
  <c r="AI591" i="12"/>
  <c r="AI592" i="12"/>
  <c r="AI593" i="12"/>
  <c r="AI594" i="12"/>
  <c r="AI595" i="12"/>
  <c r="AI596" i="12"/>
  <c r="AI597" i="12"/>
  <c r="AI598" i="12"/>
  <c r="AI599" i="12"/>
  <c r="AI600" i="12"/>
  <c r="AI601" i="12"/>
  <c r="AI602" i="12"/>
  <c r="AI603" i="12"/>
  <c r="AI604" i="12"/>
  <c r="AI605" i="12"/>
  <c r="AI606" i="12"/>
  <c r="AI607" i="12"/>
  <c r="AI608" i="12"/>
  <c r="AI609" i="12"/>
  <c r="AI610" i="12"/>
  <c r="AI611" i="12"/>
  <c r="AI612" i="12"/>
  <c r="AI613" i="12"/>
  <c r="AI614" i="12"/>
  <c r="AI615" i="12"/>
  <c r="AI616" i="12"/>
  <c r="AI617" i="12"/>
  <c r="AI618" i="12"/>
  <c r="AI619" i="12"/>
  <c r="AI620" i="12"/>
  <c r="AI621" i="12"/>
  <c r="AI622" i="12"/>
  <c r="AI623" i="12"/>
  <c r="AI624" i="12"/>
  <c r="AI625" i="12"/>
  <c r="AI626" i="12"/>
  <c r="AI627" i="12"/>
  <c r="AI628" i="12"/>
  <c r="AI629" i="12"/>
  <c r="AI630" i="12"/>
  <c r="AI631" i="12"/>
  <c r="AI632" i="12"/>
  <c r="AI633" i="12"/>
  <c r="AI634" i="12"/>
  <c r="AI635" i="12"/>
  <c r="AI636" i="12"/>
  <c r="AI637" i="12"/>
  <c r="AI638" i="12"/>
  <c r="AI639" i="12"/>
  <c r="AI640" i="12"/>
  <c r="AI641" i="12"/>
  <c r="AI642" i="12"/>
  <c r="AI643" i="12"/>
  <c r="AI644" i="12"/>
  <c r="AI645" i="12"/>
  <c r="AI646" i="12"/>
  <c r="AI647" i="12"/>
  <c r="AI648" i="12"/>
  <c r="AI649" i="12"/>
  <c r="AI650" i="12"/>
  <c r="AI651" i="12"/>
  <c r="AI652" i="12"/>
  <c r="AI653" i="12"/>
  <c r="AI654" i="12"/>
  <c r="AI655" i="12"/>
  <c r="AI656" i="12"/>
  <c r="AI657" i="12"/>
  <c r="AI658" i="12"/>
  <c r="AI659" i="12"/>
  <c r="AI660" i="12"/>
  <c r="AI661" i="12"/>
  <c r="AI662" i="12"/>
  <c r="AI663" i="12"/>
  <c r="AI664" i="12"/>
  <c r="AI665" i="12"/>
  <c r="AI666" i="12"/>
  <c r="AI667" i="12"/>
  <c r="AI668" i="12"/>
  <c r="AI669" i="12"/>
  <c r="AI670" i="12"/>
  <c r="AI671" i="12"/>
  <c r="AI672" i="12"/>
  <c r="AI673" i="12"/>
  <c r="AI674" i="12"/>
  <c r="AI675" i="12"/>
  <c r="AI676" i="12"/>
  <c r="AI677" i="12"/>
  <c r="AI678" i="12"/>
  <c r="AI679" i="12"/>
  <c r="AI680" i="12"/>
  <c r="AI681" i="12"/>
  <c r="AI682" i="12"/>
  <c r="AI683" i="12"/>
  <c r="AI684" i="12"/>
  <c r="AI685" i="12"/>
  <c r="AI686" i="12"/>
  <c r="AI687" i="12"/>
  <c r="AI688" i="12"/>
  <c r="AI689" i="12"/>
  <c r="AI690" i="12"/>
  <c r="AI691" i="12"/>
  <c r="AI692" i="12"/>
  <c r="AI693" i="12"/>
  <c r="AI694" i="12"/>
  <c r="AI695" i="12"/>
  <c r="AI696" i="12"/>
  <c r="AI697" i="12"/>
  <c r="AI698" i="12"/>
  <c r="AI699" i="12"/>
  <c r="AI700" i="12"/>
  <c r="AI701" i="12"/>
  <c r="AI702" i="12"/>
  <c r="AI703" i="12"/>
  <c r="AI704" i="12"/>
  <c r="AI705" i="12"/>
  <c r="AI706" i="12"/>
  <c r="AI707" i="12"/>
  <c r="AI708" i="12"/>
  <c r="AI709" i="12"/>
  <c r="AI710" i="12"/>
  <c r="AI711" i="12"/>
  <c r="AI712" i="12"/>
  <c r="AI713" i="12"/>
  <c r="AI714" i="12"/>
  <c r="AI715" i="12"/>
  <c r="AI716" i="12"/>
  <c r="AI744" i="12"/>
  <c r="AI745" i="12"/>
  <c r="AI746" i="12"/>
  <c r="AI747" i="12"/>
  <c r="AI748" i="12"/>
  <c r="AI749" i="12"/>
  <c r="AI750" i="12"/>
  <c r="AI751" i="12"/>
  <c r="AI752" i="12"/>
  <c r="AI753" i="12"/>
  <c r="AI754" i="12"/>
  <c r="AI755" i="12"/>
  <c r="AI756" i="12"/>
  <c r="AI757" i="12"/>
  <c r="AI758" i="12"/>
  <c r="AI759" i="12"/>
  <c r="AI760" i="12"/>
  <c r="AI761" i="12"/>
  <c r="AI762" i="12"/>
  <c r="AI763" i="12"/>
  <c r="AI764" i="12"/>
  <c r="AI765" i="12"/>
  <c r="AI766" i="12"/>
  <c r="AI767" i="12"/>
  <c r="AI768" i="12"/>
  <c r="AI769" i="12"/>
  <c r="AI7" i="12"/>
  <c r="C7" i="16"/>
  <c r="B3" i="16"/>
  <c r="B2" i="16"/>
  <c r="B1" i="16"/>
  <c r="AC20" i="2" l="1"/>
  <c r="H228" i="15" s="1"/>
  <c r="AB20" i="2"/>
  <c r="G228" i="15" s="1"/>
  <c r="D15" i="16"/>
  <c r="I16" i="16"/>
  <c r="I15" i="16"/>
  <c r="G16" i="16"/>
  <c r="G15" i="16"/>
  <c r="D16" i="16"/>
  <c r="AC2" i="2" l="1"/>
  <c r="H210" i="15" s="1"/>
  <c r="AB2" i="2"/>
  <c r="G210" i="15" s="1"/>
  <c r="E126" i="16"/>
  <c r="E127" i="16"/>
  <c r="J126" i="16"/>
  <c r="J127" i="16"/>
  <c r="E23" i="16"/>
  <c r="E112" i="16"/>
  <c r="J98" i="16"/>
  <c r="J112" i="16"/>
  <c r="E62" i="16"/>
  <c r="E32" i="16"/>
  <c r="E29" i="16"/>
  <c r="E78" i="16"/>
  <c r="E56" i="16"/>
  <c r="E61" i="16"/>
  <c r="E99" i="16"/>
  <c r="E30" i="16"/>
  <c r="E94" i="16"/>
  <c r="E88" i="16"/>
  <c r="E85" i="16"/>
  <c r="E111" i="16"/>
  <c r="E46" i="16"/>
  <c r="E115" i="16"/>
  <c r="E117" i="16"/>
  <c r="E114" i="16"/>
  <c r="E59" i="16"/>
  <c r="E34" i="16"/>
  <c r="E50" i="16"/>
  <c r="E66" i="16"/>
  <c r="E82" i="16"/>
  <c r="E98" i="16"/>
  <c r="E119" i="16"/>
  <c r="E36" i="16"/>
  <c r="E68" i="16"/>
  <c r="E96" i="16"/>
  <c r="E121" i="16"/>
  <c r="E37" i="16"/>
  <c r="E65" i="16"/>
  <c r="E93" i="16"/>
  <c r="E83" i="16"/>
  <c r="E47" i="16"/>
  <c r="E27" i="16"/>
  <c r="E22" i="16"/>
  <c r="E38" i="16"/>
  <c r="E54" i="16"/>
  <c r="E70" i="16"/>
  <c r="E86" i="16"/>
  <c r="E102" i="16"/>
  <c r="E123" i="16"/>
  <c r="E48" i="16"/>
  <c r="E72" i="16"/>
  <c r="E100" i="16"/>
  <c r="E18" i="16"/>
  <c r="E45" i="16"/>
  <c r="E69" i="16"/>
  <c r="E101" i="16"/>
  <c r="E131" i="16"/>
  <c r="E51" i="16"/>
  <c r="E31" i="16"/>
  <c r="E103" i="16"/>
  <c r="E26" i="16"/>
  <c r="E42" i="16"/>
  <c r="E58" i="16"/>
  <c r="E74" i="16"/>
  <c r="E90" i="16"/>
  <c r="E106" i="16"/>
  <c r="E24" i="16"/>
  <c r="E52" i="16"/>
  <c r="E80" i="16"/>
  <c r="E113" i="16"/>
  <c r="E21" i="16"/>
  <c r="E49" i="16"/>
  <c r="E81" i="16"/>
  <c r="E109" i="16"/>
  <c r="E19" i="16"/>
  <c r="E124" i="16"/>
  <c r="E95" i="16"/>
  <c r="E75" i="16"/>
  <c r="E71" i="16"/>
  <c r="E55" i="16"/>
  <c r="E20" i="16"/>
  <c r="E40" i="16"/>
  <c r="E64" i="16"/>
  <c r="E84" i="16"/>
  <c r="E104" i="16"/>
  <c r="E130" i="16"/>
  <c r="E33" i="16"/>
  <c r="E53" i="16"/>
  <c r="E77" i="16"/>
  <c r="E97" i="16"/>
  <c r="E118" i="16"/>
  <c r="E116" i="16"/>
  <c r="E35" i="16"/>
  <c r="E79" i="16"/>
  <c r="E91" i="16"/>
  <c r="E120" i="16"/>
  <c r="E39" i="16"/>
  <c r="J101" i="16"/>
  <c r="J114" i="16"/>
  <c r="J115" i="16"/>
  <c r="J107" i="16"/>
  <c r="J118" i="16"/>
  <c r="J119" i="16"/>
  <c r="J124" i="16"/>
  <c r="J97" i="16"/>
  <c r="J131" i="16"/>
  <c r="J117" i="16"/>
  <c r="J111" i="16"/>
  <c r="J129" i="16"/>
  <c r="J121" i="16"/>
  <c r="J105" i="16"/>
  <c r="J122" i="16"/>
  <c r="J106" i="16"/>
  <c r="J123" i="16"/>
  <c r="J99" i="16"/>
  <c r="J116" i="16"/>
  <c r="J125" i="16"/>
  <c r="E110" i="16"/>
  <c r="E128" i="16"/>
  <c r="E28" i="16"/>
  <c r="E44" i="16"/>
  <c r="E60" i="16"/>
  <c r="E76" i="16"/>
  <c r="E92" i="16"/>
  <c r="E108" i="16"/>
  <c r="E125" i="16"/>
  <c r="E25" i="16"/>
  <c r="E41" i="16"/>
  <c r="E57" i="16"/>
  <c r="E73" i="16"/>
  <c r="E89" i="16"/>
  <c r="E105" i="16"/>
  <c r="E122" i="16"/>
  <c r="E67" i="16"/>
  <c r="E129" i="16"/>
  <c r="E63" i="16"/>
  <c r="E107" i="16"/>
  <c r="E43" i="16"/>
  <c r="E87" i="16"/>
  <c r="J19" i="16"/>
  <c r="J23" i="16"/>
  <c r="J27" i="16"/>
  <c r="J31" i="16"/>
  <c r="J35" i="16"/>
  <c r="J39" i="16"/>
  <c r="J43" i="16"/>
  <c r="J47" i="16"/>
  <c r="J51" i="16"/>
  <c r="J55" i="16"/>
  <c r="J59" i="16"/>
  <c r="J63" i="16"/>
  <c r="J67" i="16"/>
  <c r="J71" i="16"/>
  <c r="J75" i="16"/>
  <c r="J79" i="16"/>
  <c r="J83" i="16"/>
  <c r="J87" i="16"/>
  <c r="J91" i="16"/>
  <c r="J95" i="16"/>
  <c r="J20" i="16"/>
  <c r="J24" i="16"/>
  <c r="J28" i="16"/>
  <c r="J32" i="16"/>
  <c r="J36" i="16"/>
  <c r="J40" i="16"/>
  <c r="J44" i="16"/>
  <c r="J48" i="16"/>
  <c r="J52" i="16"/>
  <c r="J56" i="16"/>
  <c r="J60" i="16"/>
  <c r="J64" i="16"/>
  <c r="J68" i="16"/>
  <c r="J72" i="16"/>
  <c r="J76" i="16"/>
  <c r="J80" i="16"/>
  <c r="J84" i="16"/>
  <c r="J88" i="16"/>
  <c r="J92" i="16"/>
  <c r="J96" i="16"/>
  <c r="J100" i="16"/>
  <c r="J104" i="16"/>
  <c r="J108" i="16"/>
  <c r="J18" i="16"/>
  <c r="J21" i="16"/>
  <c r="J25" i="16"/>
  <c r="J29" i="16"/>
  <c r="J33" i="16"/>
  <c r="J37" i="16"/>
  <c r="J41" i="16"/>
  <c r="J45" i="16"/>
  <c r="J49" i="16"/>
  <c r="J53" i="16"/>
  <c r="J57" i="16"/>
  <c r="J61" i="16"/>
  <c r="J65" i="16"/>
  <c r="J69" i="16"/>
  <c r="J73" i="16"/>
  <c r="J77" i="16"/>
  <c r="J81" i="16"/>
  <c r="J85" i="16"/>
  <c r="J89" i="16"/>
  <c r="J93" i="16"/>
  <c r="J22" i="16"/>
  <c r="J26" i="16"/>
  <c r="J30" i="16"/>
  <c r="J34" i="16"/>
  <c r="J38" i="16"/>
  <c r="J42" i="16"/>
  <c r="J46" i="16"/>
  <c r="J50" i="16"/>
  <c r="J54" i="16"/>
  <c r="J58" i="16"/>
  <c r="J62" i="16"/>
  <c r="J66" i="16"/>
  <c r="J70" i="16"/>
  <c r="J74" i="16"/>
  <c r="J78" i="16"/>
  <c r="J82" i="16"/>
  <c r="J86" i="16"/>
  <c r="J90" i="16"/>
  <c r="J94" i="16"/>
  <c r="J109" i="16"/>
  <c r="J110" i="16"/>
  <c r="J128" i="16"/>
  <c r="J103" i="16"/>
  <c r="J120" i="16"/>
  <c r="J113" i="16"/>
  <c r="J130" i="16"/>
  <c r="J102" i="16"/>
  <c r="E15" i="16" l="1"/>
  <c r="E16" i="16"/>
  <c r="J15" i="16"/>
  <c r="J16" i="16"/>
  <c r="H344" i="15" l="1"/>
  <c r="H345" i="15"/>
  <c r="H346" i="15"/>
  <c r="H347" i="15"/>
  <c r="H348" i="15"/>
  <c r="H349" i="15"/>
  <c r="H350" i="15"/>
  <c r="H343" i="15"/>
  <c r="G344" i="15"/>
  <c r="G345" i="15"/>
  <c r="G346" i="15"/>
  <c r="G347" i="15"/>
  <c r="G348" i="15"/>
  <c r="G349" i="15"/>
  <c r="G350" i="15"/>
  <c r="G343" i="15"/>
  <c r="F344" i="15"/>
  <c r="F345" i="15"/>
  <c r="F346" i="15"/>
  <c r="F347" i="15"/>
  <c r="F348" i="15"/>
  <c r="F349" i="15"/>
  <c r="F350" i="15"/>
  <c r="F343" i="15"/>
  <c r="E344" i="15"/>
  <c r="E345" i="15"/>
  <c r="E346" i="15"/>
  <c r="E347" i="15"/>
  <c r="E348" i="15"/>
  <c r="E349" i="15"/>
  <c r="E350" i="15"/>
  <c r="E343" i="15"/>
  <c r="C344" i="15"/>
  <c r="C345" i="15"/>
  <c r="C346" i="15"/>
  <c r="C347" i="15"/>
  <c r="C348" i="15"/>
  <c r="C349" i="15"/>
  <c r="C350" i="15"/>
  <c r="C343" i="15"/>
  <c r="C146" i="15"/>
  <c r="C147" i="15"/>
  <c r="C148" i="15"/>
  <c r="C149" i="15"/>
  <c r="C150" i="15"/>
  <c r="C151" i="15"/>
  <c r="C152" i="15"/>
  <c r="C153" i="15"/>
  <c r="C154" i="15"/>
  <c r="C155" i="15"/>
  <c r="C156" i="15"/>
  <c r="C157" i="15"/>
  <c r="C158" i="15"/>
  <c r="C159" i="15"/>
  <c r="C160" i="15"/>
  <c r="C161" i="15"/>
  <c r="C162" i="15"/>
  <c r="C163" i="15"/>
  <c r="C145" i="15"/>
  <c r="E146" i="15"/>
  <c r="E147" i="15"/>
  <c r="E148" i="15"/>
  <c r="E149" i="15"/>
  <c r="E150" i="15"/>
  <c r="E151" i="15"/>
  <c r="E152" i="15"/>
  <c r="E153" i="15"/>
  <c r="E154" i="15"/>
  <c r="E155" i="15"/>
  <c r="E156" i="15"/>
  <c r="E157" i="15"/>
  <c r="E158" i="15"/>
  <c r="E159" i="15"/>
  <c r="E160" i="15"/>
  <c r="E161" i="15"/>
  <c r="E162" i="15"/>
  <c r="E163" i="15"/>
  <c r="E145" i="15"/>
  <c r="F146" i="15"/>
  <c r="F147" i="15"/>
  <c r="F148" i="15"/>
  <c r="F149" i="15"/>
  <c r="F150" i="15"/>
  <c r="F151" i="15"/>
  <c r="F152" i="15"/>
  <c r="F153" i="15"/>
  <c r="F154" i="15"/>
  <c r="F155" i="15"/>
  <c r="F156" i="15"/>
  <c r="F157" i="15"/>
  <c r="F158" i="15"/>
  <c r="F159" i="15"/>
  <c r="F160" i="15"/>
  <c r="F161" i="15"/>
  <c r="F162" i="15"/>
  <c r="F163" i="15"/>
  <c r="F145" i="15"/>
  <c r="C168" i="15" l="1"/>
  <c r="G153" i="15"/>
  <c r="G147" i="15"/>
  <c r="G159" i="15"/>
  <c r="G154" i="15"/>
  <c r="G158" i="15"/>
  <c r="G150" i="15"/>
  <c r="F120" i="15"/>
  <c r="F121" i="15"/>
  <c r="F122" i="15"/>
  <c r="F123" i="15"/>
  <c r="F124" i="15"/>
  <c r="F125" i="15"/>
  <c r="F126" i="15"/>
  <c r="F127" i="15"/>
  <c r="F128" i="15"/>
  <c r="F129" i="15"/>
  <c r="F130" i="15"/>
  <c r="F131" i="15"/>
  <c r="F132" i="15"/>
  <c r="F133" i="15"/>
  <c r="F134" i="15"/>
  <c r="F135" i="15"/>
  <c r="F119" i="15"/>
  <c r="E120" i="15"/>
  <c r="E121" i="15"/>
  <c r="E122" i="15"/>
  <c r="E123" i="15"/>
  <c r="E124" i="15"/>
  <c r="E125" i="15"/>
  <c r="E126" i="15"/>
  <c r="E127" i="15"/>
  <c r="E128" i="15"/>
  <c r="E129" i="15"/>
  <c r="E130" i="15"/>
  <c r="E131" i="15"/>
  <c r="E132" i="15"/>
  <c r="E133" i="15"/>
  <c r="E134" i="15"/>
  <c r="E135" i="15"/>
  <c r="E119" i="15"/>
  <c r="G124" i="15" l="1"/>
  <c r="G132" i="15"/>
  <c r="G128" i="15"/>
  <c r="G120" i="15"/>
  <c r="G133" i="15"/>
  <c r="G129" i="15"/>
  <c r="G125" i="15"/>
  <c r="G121" i="15"/>
  <c r="G146" i="15"/>
  <c r="G157" i="15"/>
  <c r="G149" i="15"/>
  <c r="G162" i="15"/>
  <c r="G155" i="15"/>
  <c r="G151" i="15"/>
  <c r="G161" i="15"/>
  <c r="G163" i="15"/>
  <c r="F168" i="15"/>
  <c r="G145" i="15"/>
  <c r="G152" i="15"/>
  <c r="G148" i="15"/>
  <c r="G156" i="15"/>
  <c r="G160" i="15"/>
  <c r="E168" i="15"/>
  <c r="G123" i="15"/>
  <c r="G127" i="15"/>
  <c r="G131" i="15"/>
  <c r="G135" i="15"/>
  <c r="E58" i="4" s="1"/>
  <c r="G122" i="15"/>
  <c r="G126" i="15"/>
  <c r="G130" i="15"/>
  <c r="G134" i="15"/>
  <c r="E142" i="15"/>
  <c r="G119" i="15"/>
  <c r="F142" i="15"/>
  <c r="F114" i="15"/>
  <c r="C116" i="15"/>
  <c r="C115" i="15"/>
  <c r="H300" i="15"/>
  <c r="G300" i="15"/>
  <c r="F300" i="15"/>
  <c r="E300" i="15"/>
  <c r="D300" i="15"/>
  <c r="C300" i="15"/>
  <c r="H299" i="15"/>
  <c r="G299" i="15"/>
  <c r="F299" i="15"/>
  <c r="E299" i="15"/>
  <c r="D299" i="15"/>
  <c r="C299" i="15"/>
  <c r="H298" i="15"/>
  <c r="G298" i="15"/>
  <c r="F298" i="15"/>
  <c r="E298" i="15"/>
  <c r="D298" i="15"/>
  <c r="C298" i="15"/>
  <c r="H297" i="15"/>
  <c r="G297" i="15"/>
  <c r="F297" i="15"/>
  <c r="E297" i="15"/>
  <c r="D297" i="15"/>
  <c r="C297" i="15"/>
  <c r="H296" i="15"/>
  <c r="G296" i="15"/>
  <c r="F296" i="15"/>
  <c r="E296" i="15"/>
  <c r="D296" i="15"/>
  <c r="C296" i="15"/>
  <c r="H295" i="15"/>
  <c r="G295" i="15"/>
  <c r="F295" i="15"/>
  <c r="E295" i="15"/>
  <c r="D295" i="15"/>
  <c r="C295" i="15"/>
  <c r="H294" i="15"/>
  <c r="G294" i="15"/>
  <c r="F294" i="15"/>
  <c r="E294" i="15"/>
  <c r="D294" i="15"/>
  <c r="C294" i="15"/>
  <c r="H293" i="15"/>
  <c r="G293" i="15"/>
  <c r="F293" i="15"/>
  <c r="E293" i="15"/>
  <c r="D293" i="15"/>
  <c r="C293" i="15"/>
  <c r="H292" i="15"/>
  <c r="G292" i="15"/>
  <c r="F292" i="15"/>
  <c r="E292" i="15"/>
  <c r="D292" i="15"/>
  <c r="C292" i="15"/>
  <c r="H291" i="15"/>
  <c r="G291" i="15"/>
  <c r="F291" i="15"/>
  <c r="E291" i="15"/>
  <c r="D291" i="15"/>
  <c r="C291" i="15"/>
  <c r="H290" i="15"/>
  <c r="G290" i="15"/>
  <c r="F290" i="15"/>
  <c r="E290" i="15"/>
  <c r="D290" i="15"/>
  <c r="C290" i="15"/>
  <c r="H289" i="15"/>
  <c r="G289" i="15"/>
  <c r="F289" i="15"/>
  <c r="E289" i="15"/>
  <c r="D289" i="15"/>
  <c r="C289" i="15"/>
  <c r="H288" i="15"/>
  <c r="G288" i="15"/>
  <c r="F288" i="15"/>
  <c r="E288" i="15"/>
  <c r="D288" i="15"/>
  <c r="C288" i="15"/>
  <c r="H287" i="15"/>
  <c r="G287" i="15"/>
  <c r="F287" i="15"/>
  <c r="E287" i="15"/>
  <c r="D287" i="15"/>
  <c r="C287" i="15"/>
  <c r="H286" i="15"/>
  <c r="G286" i="15"/>
  <c r="F286" i="15"/>
  <c r="E286" i="15"/>
  <c r="D286" i="15"/>
  <c r="C286" i="15"/>
  <c r="G168" i="15" l="1"/>
  <c r="G142" i="15"/>
  <c r="H351" i="15"/>
  <c r="H284" i="15" s="1"/>
  <c r="E351" i="15"/>
  <c r="E284" i="15" s="1"/>
  <c r="E283" i="15"/>
  <c r="H283" i="15"/>
  <c r="C111" i="14"/>
  <c r="K28" i="15"/>
  <c r="K27" i="15"/>
  <c r="C77" i="14" l="1"/>
  <c r="E77" i="14" s="1"/>
  <c r="C68" i="17"/>
  <c r="E68" i="17" s="1"/>
  <c r="C76" i="14"/>
  <c r="E76" i="14" s="1"/>
  <c r="C67" i="17"/>
  <c r="E67" i="17" s="1"/>
  <c r="E12" i="15"/>
  <c r="E69" i="17" l="1"/>
  <c r="E78" i="14"/>
  <c r="K32" i="15"/>
  <c r="K68" i="15" s="1"/>
  <c r="K31" i="15"/>
  <c r="F36" i="15" l="1"/>
  <c r="H72" i="15" s="1"/>
  <c r="C69" i="14" l="1"/>
  <c r="C60" i="17"/>
  <c r="K24" i="15"/>
  <c r="K26" i="15"/>
  <c r="C38" i="15"/>
  <c r="C37" i="15"/>
  <c r="C171" i="15" l="1"/>
  <c r="C31" i="15"/>
  <c r="C39" i="15"/>
  <c r="H24" i="15" l="1"/>
  <c r="H25" i="15"/>
  <c r="H26" i="15"/>
  <c r="H27" i="15"/>
  <c r="H28" i="15"/>
  <c r="F24" i="15"/>
  <c r="C15" i="14" s="1"/>
  <c r="F23" i="15"/>
  <c r="C29" i="15"/>
  <c r="C28" i="15"/>
  <c r="C24" i="15"/>
  <c r="C25" i="15"/>
  <c r="C26" i="15"/>
  <c r="C23" i="15"/>
  <c r="E14" i="15"/>
  <c r="E15" i="15" s="1"/>
  <c r="K18" i="15"/>
  <c r="K17" i="15"/>
  <c r="K16" i="15"/>
  <c r="K15" i="15"/>
  <c r="K14" i="15"/>
  <c r="K13" i="15"/>
  <c r="K11" i="15"/>
  <c r="K10" i="15"/>
  <c r="H18" i="15"/>
  <c r="H17" i="15"/>
  <c r="H16" i="15"/>
  <c r="H15" i="15"/>
  <c r="H14" i="15"/>
  <c r="H13" i="15"/>
  <c r="H11" i="15"/>
  <c r="H9" i="15"/>
  <c r="H8" i="15"/>
  <c r="E13" i="15"/>
  <c r="E11" i="15"/>
  <c r="E10" i="15"/>
  <c r="B3" i="15"/>
  <c r="B2" i="15"/>
  <c r="B1" i="15"/>
  <c r="A7" i="8"/>
  <c r="A8" i="8"/>
  <c r="A10" i="8"/>
  <c r="A11" i="8"/>
  <c r="A12" i="8"/>
  <c r="A13" i="8"/>
  <c r="A14" i="8"/>
  <c r="A15" i="8"/>
  <c r="A16" i="8"/>
  <c r="A17" i="8"/>
  <c r="A18"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C11" i="14" l="1"/>
  <c r="F28" i="15"/>
  <c r="C12" i="14"/>
  <c r="C10" i="17"/>
  <c r="C15" i="17"/>
  <c r="C11" i="17"/>
  <c r="C16" i="17"/>
  <c r="B3" i="14"/>
  <c r="B2" i="14"/>
  <c r="B1" i="14"/>
  <c r="U3" i="2"/>
  <c r="D207" i="15" s="1"/>
  <c r="D90" i="14" s="1"/>
  <c r="U4" i="2"/>
  <c r="C78" i="15" s="1"/>
  <c r="U5" i="2"/>
  <c r="U6" i="2"/>
  <c r="C80" i="15" s="1"/>
  <c r="E52" i="4" s="1"/>
  <c r="U7" i="2"/>
  <c r="C81" i="15" s="1"/>
  <c r="U8" i="2"/>
  <c r="U9" i="2"/>
  <c r="C83" i="15" s="1"/>
  <c r="U2" i="2"/>
  <c r="C77" i="15" s="1"/>
  <c r="R5" i="2"/>
  <c r="F45" i="15" s="1"/>
  <c r="R6" i="2"/>
  <c r="F46" i="15" s="1"/>
  <c r="R7" i="2"/>
  <c r="F47" i="15" s="1"/>
  <c r="R13" i="2"/>
  <c r="F53" i="15" s="1"/>
  <c r="R14" i="2"/>
  <c r="F54" i="15" s="1"/>
  <c r="R18" i="2"/>
  <c r="R20" i="2"/>
  <c r="R22" i="2"/>
  <c r="F62" i="15" s="1"/>
  <c r="Q5" i="2"/>
  <c r="E45" i="15" s="1"/>
  <c r="Q6" i="2"/>
  <c r="E46" i="15" s="1"/>
  <c r="Q8" i="2"/>
  <c r="E48" i="15" s="1"/>
  <c r="Q9" i="2"/>
  <c r="E49" i="15" s="1"/>
  <c r="Q10" i="2"/>
  <c r="E50" i="15" s="1"/>
  <c r="Q11" i="2"/>
  <c r="E51" i="15" s="1"/>
  <c r="Q13" i="2"/>
  <c r="E53" i="15" s="1"/>
  <c r="Q14" i="2"/>
  <c r="E54" i="15" s="1"/>
  <c r="Q18" i="2"/>
  <c r="Q20" i="2"/>
  <c r="Q21" i="2"/>
  <c r="Q4" i="12"/>
  <c r="T4" i="12"/>
  <c r="U4" i="12"/>
  <c r="V4" i="12"/>
  <c r="W4" i="12"/>
  <c r="Y4" i="12"/>
  <c r="AA4" i="12"/>
  <c r="M4" i="12"/>
  <c r="D11" i="16" s="1"/>
  <c r="Q771" i="12"/>
  <c r="Q5" i="12" s="1"/>
  <c r="T771" i="12"/>
  <c r="T5" i="12" s="1"/>
  <c r="U771" i="12"/>
  <c r="U5" i="12" s="1"/>
  <c r="V771" i="12"/>
  <c r="V5" i="12" s="1"/>
  <c r="W771" i="12"/>
  <c r="W5" i="12" s="1"/>
  <c r="Y771" i="12"/>
  <c r="Y5" i="12" s="1"/>
  <c r="AA771" i="12"/>
  <c r="AA5" i="12" s="1"/>
  <c r="M771" i="12"/>
  <c r="M5" i="12" s="1"/>
  <c r="E50" i="4"/>
  <c r="E48" i="4"/>
  <c r="E47" i="4"/>
  <c r="E53" i="4"/>
  <c r="E54" i="4"/>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15" i="5"/>
  <c r="O4" i="8"/>
  <c r="Q4" i="8"/>
  <c r="R4" i="8"/>
  <c r="S4" i="8"/>
  <c r="T4" i="8"/>
  <c r="U4" i="8"/>
  <c r="V4" i="8"/>
  <c r="X4" i="8"/>
  <c r="Z4" i="8"/>
  <c r="K4" i="8"/>
  <c r="D10" i="16" s="1"/>
  <c r="D6" i="7"/>
  <c r="G122" i="14" s="1"/>
  <c r="D101" i="13"/>
  <c r="D7" i="13" s="1"/>
  <c r="G123" i="14" s="1"/>
  <c r="G101" i="13"/>
  <c r="B3" i="13"/>
  <c r="B5" i="13" s="1"/>
  <c r="B2" i="13"/>
  <c r="B1" i="13"/>
  <c r="B3" i="12"/>
  <c r="B2" i="12"/>
  <c r="B1" i="12"/>
  <c r="Q511" i="8"/>
  <c r="Q5" i="8" s="1"/>
  <c r="R511" i="8"/>
  <c r="R5" i="8" s="1"/>
  <c r="S511" i="8"/>
  <c r="S5" i="8" s="1"/>
  <c r="T511" i="8"/>
  <c r="T5" i="8" s="1"/>
  <c r="U511" i="8"/>
  <c r="U5" i="8" s="1"/>
  <c r="V511" i="8"/>
  <c r="V5" i="8" s="1"/>
  <c r="X511" i="8"/>
  <c r="X5" i="8" s="1"/>
  <c r="Z511" i="8"/>
  <c r="Z5" i="8" s="1"/>
  <c r="O511" i="8"/>
  <c r="O5" i="8" s="1"/>
  <c r="K511" i="8"/>
  <c r="K5" i="8" s="1"/>
  <c r="AH511" i="8"/>
  <c r="D13" i="14" l="1"/>
  <c r="C72" i="4"/>
  <c r="D12" i="17"/>
  <c r="E60" i="15"/>
  <c r="C62" i="17"/>
  <c r="E62" i="17" s="1"/>
  <c r="F62" i="17" s="1"/>
  <c r="C82" i="15"/>
  <c r="C71" i="15" s="1"/>
  <c r="C45" i="17"/>
  <c r="E45" i="17" s="1"/>
  <c r="F45" i="17" s="1"/>
  <c r="C79" i="15"/>
  <c r="D73" i="17" s="1"/>
  <c r="C73" i="4"/>
  <c r="C74" i="4" s="1"/>
  <c r="R4" i="2"/>
  <c r="F44" i="15" s="1"/>
  <c r="AC4" i="2"/>
  <c r="H212" i="15" s="1"/>
  <c r="AC3" i="2"/>
  <c r="AB3" i="2"/>
  <c r="C13" i="17"/>
  <c r="C63" i="14"/>
  <c r="E63" i="14" s="1"/>
  <c r="C55" i="17"/>
  <c r="E55" i="17" s="1"/>
  <c r="F55" i="17" s="1"/>
  <c r="D97" i="14"/>
  <c r="D72" i="17"/>
  <c r="C53" i="14"/>
  <c r="C49" i="17"/>
  <c r="E49" i="17" s="1"/>
  <c r="F49" i="17" s="1"/>
  <c r="C62" i="14"/>
  <c r="C54" i="17"/>
  <c r="C71" i="14"/>
  <c r="E71" i="14" s="1"/>
  <c r="Q17" i="2"/>
  <c r="E56" i="15" s="1"/>
  <c r="Q3" i="2"/>
  <c r="E43" i="15" s="1"/>
  <c r="Q19" i="2"/>
  <c r="E58" i="15" s="1"/>
  <c r="C49" i="14"/>
  <c r="D12" i="16"/>
  <c r="B12" i="16" s="1"/>
  <c r="R19" i="2"/>
  <c r="F58" i="15" s="1"/>
  <c r="R17" i="2"/>
  <c r="F56" i="15" s="1"/>
  <c r="R9" i="2"/>
  <c r="F49" i="15" s="1"/>
  <c r="R10" i="2"/>
  <c r="F50" i="15" s="1"/>
  <c r="R11" i="2"/>
  <c r="F51" i="15" s="1"/>
  <c r="R8" i="2"/>
  <c r="F48" i="15" s="1"/>
  <c r="F52" i="15"/>
  <c r="R21" i="2"/>
  <c r="F60" i="15" s="1"/>
  <c r="Q7" i="2"/>
  <c r="E47" i="15" s="1"/>
  <c r="Q12" i="2"/>
  <c r="E52" i="15" s="1"/>
  <c r="H69" i="15"/>
  <c r="H68" i="15"/>
  <c r="Q4" i="2"/>
  <c r="E44" i="15" s="1"/>
  <c r="Q22" i="2"/>
  <c r="C26" i="14"/>
  <c r="C35" i="15"/>
  <c r="R2" i="2"/>
  <c r="Y4" i="8"/>
  <c r="AA4" i="8"/>
  <c r="Q2" i="2"/>
  <c r="U12" i="2"/>
  <c r="Z771" i="12"/>
  <c r="Z5" i="12" s="1"/>
  <c r="Z4" i="12"/>
  <c r="AA511" i="8"/>
  <c r="AA5" i="8" s="1"/>
  <c r="Y511" i="8"/>
  <c r="Y5" i="8" s="1"/>
  <c r="R3" i="2" l="1"/>
  <c r="F43" i="15" s="1"/>
  <c r="H211" i="15"/>
  <c r="H233" i="15" s="1"/>
  <c r="D82" i="14" s="1"/>
  <c r="AC25" i="2"/>
  <c r="G211" i="15"/>
  <c r="G233" i="15" s="1"/>
  <c r="AB25" i="2"/>
  <c r="D98" i="14"/>
  <c r="C86" i="15"/>
  <c r="C52" i="17"/>
  <c r="E52" i="17" s="1"/>
  <c r="F52" i="17" s="1"/>
  <c r="C56" i="14"/>
  <c r="E61" i="15"/>
  <c r="E62" i="15"/>
  <c r="E57" i="15"/>
  <c r="F57" i="15"/>
  <c r="E59" i="15"/>
  <c r="F59" i="15"/>
  <c r="F61" i="15"/>
  <c r="AB4" i="12"/>
  <c r="G121" i="14" s="1"/>
  <c r="AB771" i="12"/>
  <c r="AB5" i="12" s="1"/>
  <c r="Z25" i="2"/>
  <c r="C61" i="14"/>
  <c r="E54" i="17"/>
  <c r="F54" i="17" s="1"/>
  <c r="C53" i="17"/>
  <c r="E53" i="17" s="1"/>
  <c r="F53" i="17" s="1"/>
  <c r="H71" i="15"/>
  <c r="F112" i="16"/>
  <c r="K127" i="16"/>
  <c r="F127" i="16"/>
  <c r="K126" i="16"/>
  <c r="F126" i="16"/>
  <c r="K112" i="16"/>
  <c r="F88" i="16"/>
  <c r="F24" i="16"/>
  <c r="F84" i="16"/>
  <c r="F20" i="16"/>
  <c r="K70" i="16"/>
  <c r="K22" i="16"/>
  <c r="F83" i="16"/>
  <c r="F31" i="16"/>
  <c r="K85" i="16"/>
  <c r="K69" i="16"/>
  <c r="K53" i="16"/>
  <c r="K37" i="16"/>
  <c r="K21" i="16"/>
  <c r="K100" i="16"/>
  <c r="F44" i="16"/>
  <c r="K86" i="16"/>
  <c r="K38" i="16"/>
  <c r="K105" i="16"/>
  <c r="F55" i="16"/>
  <c r="F123" i="16"/>
  <c r="K18" i="16"/>
  <c r="F82" i="16"/>
  <c r="F66" i="16"/>
  <c r="F50" i="16"/>
  <c r="F34" i="16"/>
  <c r="F97" i="16"/>
  <c r="F114" i="16"/>
  <c r="K96" i="16"/>
  <c r="K80" i="16"/>
  <c r="K64" i="16"/>
  <c r="K48" i="16"/>
  <c r="K32" i="16"/>
  <c r="F96" i="16"/>
  <c r="F32" i="16"/>
  <c r="K78" i="16"/>
  <c r="K30" i="16"/>
  <c r="F87" i="16"/>
  <c r="F39" i="16"/>
  <c r="F110" i="16"/>
  <c r="F89" i="16"/>
  <c r="F73" i="16"/>
  <c r="F57" i="16"/>
  <c r="F41" i="16"/>
  <c r="F25" i="16"/>
  <c r="F121" i="16"/>
  <c r="F104" i="16"/>
  <c r="K87" i="16"/>
  <c r="K71" i="16"/>
  <c r="K55" i="16"/>
  <c r="K39" i="16"/>
  <c r="K23" i="16"/>
  <c r="K115" i="16"/>
  <c r="K98" i="16"/>
  <c r="K125" i="16"/>
  <c r="K129" i="16"/>
  <c r="K111" i="16"/>
  <c r="F40" i="16"/>
  <c r="F54" i="16"/>
  <c r="K36" i="16"/>
  <c r="K101" i="16"/>
  <c r="F93" i="16"/>
  <c r="F72" i="16"/>
  <c r="F120" i="16"/>
  <c r="F68" i="16"/>
  <c r="F116" i="16"/>
  <c r="K58" i="16"/>
  <c r="K122" i="16"/>
  <c r="F71" i="16"/>
  <c r="F129" i="16"/>
  <c r="K81" i="16"/>
  <c r="K65" i="16"/>
  <c r="K49" i="16"/>
  <c r="K33" i="16"/>
  <c r="K131" i="16"/>
  <c r="F92" i="16"/>
  <c r="F28" i="16"/>
  <c r="K74" i="16"/>
  <c r="K26" i="16"/>
  <c r="F91" i="16"/>
  <c r="F43" i="16"/>
  <c r="F115" i="16"/>
  <c r="F94" i="16"/>
  <c r="F78" i="16"/>
  <c r="F62" i="16"/>
  <c r="F46" i="16"/>
  <c r="F30" i="16"/>
  <c r="F128" i="16"/>
  <c r="F109" i="16"/>
  <c r="K92" i="16"/>
  <c r="K76" i="16"/>
  <c r="K60" i="16"/>
  <c r="K44" i="16"/>
  <c r="K28" i="16"/>
  <c r="F80" i="16"/>
  <c r="F130" i="16"/>
  <c r="K66" i="16"/>
  <c r="K97" i="16"/>
  <c r="F75" i="16"/>
  <c r="F27" i="16"/>
  <c r="F102" i="16"/>
  <c r="F85" i="16"/>
  <c r="F69" i="16"/>
  <c r="F53" i="16"/>
  <c r="F37" i="16"/>
  <c r="F21" i="16"/>
  <c r="F117" i="16"/>
  <c r="F100" i="16"/>
  <c r="K83" i="16"/>
  <c r="K67" i="16"/>
  <c r="K51" i="16"/>
  <c r="K35" i="16"/>
  <c r="K19" i="16"/>
  <c r="K110" i="16"/>
  <c r="K121" i="16"/>
  <c r="K124" i="16"/>
  <c r="K107" i="16"/>
  <c r="K94" i="16"/>
  <c r="F38" i="16"/>
  <c r="K52" i="16"/>
  <c r="K90" i="16"/>
  <c r="F119" i="16"/>
  <c r="F56" i="16"/>
  <c r="F103" i="16"/>
  <c r="F52" i="16"/>
  <c r="F99" i="16"/>
  <c r="K46" i="16"/>
  <c r="K109" i="16"/>
  <c r="F59" i="16"/>
  <c r="K93" i="16"/>
  <c r="K77" i="16"/>
  <c r="K61" i="16"/>
  <c r="K45" i="16"/>
  <c r="K29" i="16"/>
  <c r="K108" i="16"/>
  <c r="F76" i="16"/>
  <c r="F124" i="16"/>
  <c r="K62" i="16"/>
  <c r="K128" i="16"/>
  <c r="F79" i="16"/>
  <c r="F35" i="16"/>
  <c r="F106" i="16"/>
  <c r="F90" i="16"/>
  <c r="F74" i="16"/>
  <c r="F58" i="16"/>
  <c r="F42" i="16"/>
  <c r="F26" i="16"/>
  <c r="F122" i="16"/>
  <c r="F105" i="16"/>
  <c r="K88" i="16"/>
  <c r="K72" i="16"/>
  <c r="K56" i="16"/>
  <c r="K40" i="16"/>
  <c r="K24" i="16"/>
  <c r="F64" i="16"/>
  <c r="F111" i="16"/>
  <c r="K54" i="16"/>
  <c r="K118" i="16"/>
  <c r="F63" i="16"/>
  <c r="F19" i="16"/>
  <c r="F18" i="16"/>
  <c r="F81" i="16"/>
  <c r="F65" i="16"/>
  <c r="F49" i="16"/>
  <c r="F33" i="16"/>
  <c r="F131" i="16"/>
  <c r="F113" i="16"/>
  <c r="K95" i="16"/>
  <c r="K79" i="16"/>
  <c r="K63" i="16"/>
  <c r="K47" i="16"/>
  <c r="K31" i="16"/>
  <c r="K123" i="16"/>
  <c r="K106" i="16"/>
  <c r="K117" i="16"/>
  <c r="K120" i="16"/>
  <c r="K103" i="16"/>
  <c r="F36" i="16"/>
  <c r="K82" i="16"/>
  <c r="K34" i="16"/>
  <c r="F95" i="16"/>
  <c r="F47" i="16"/>
  <c r="K89" i="16"/>
  <c r="K73" i="16"/>
  <c r="K57" i="16"/>
  <c r="K41" i="16"/>
  <c r="K25" i="16"/>
  <c r="K104" i="16"/>
  <c r="F60" i="16"/>
  <c r="F107" i="16"/>
  <c r="K50" i="16"/>
  <c r="K114" i="16"/>
  <c r="F67" i="16"/>
  <c r="F23" i="16"/>
  <c r="F98" i="16"/>
  <c r="F86" i="16"/>
  <c r="F70" i="16"/>
  <c r="F22" i="16"/>
  <c r="F118" i="16"/>
  <c r="F101" i="16"/>
  <c r="K84" i="16"/>
  <c r="K68" i="16"/>
  <c r="K20" i="16"/>
  <c r="F48" i="16"/>
  <c r="K42" i="16"/>
  <c r="F51" i="16"/>
  <c r="F77" i="16"/>
  <c r="F125" i="16"/>
  <c r="K59" i="16"/>
  <c r="K102" i="16"/>
  <c r="K99" i="16"/>
  <c r="F61" i="16"/>
  <c r="F108" i="16"/>
  <c r="K43" i="16"/>
  <c r="K130" i="16"/>
  <c r="F29" i="16"/>
  <c r="K119" i="16"/>
  <c r="F45" i="16"/>
  <c r="K91" i="16"/>
  <c r="K27" i="16"/>
  <c r="K113" i="16"/>
  <c r="K75" i="16"/>
  <c r="K116" i="16"/>
  <c r="G351" i="15"/>
  <c r="G284" i="15" s="1"/>
  <c r="D283" i="15"/>
  <c r="D351" i="15"/>
  <c r="D284" i="15" s="1"/>
  <c r="G283" i="15"/>
  <c r="F42" i="15"/>
  <c r="C351" i="15"/>
  <c r="C284" i="15" s="1"/>
  <c r="C283" i="15"/>
  <c r="F283" i="15"/>
  <c r="F351" i="15"/>
  <c r="F284" i="15" s="1"/>
  <c r="Q26" i="2"/>
  <c r="E42" i="15"/>
  <c r="H123" i="14" l="1"/>
  <c r="C123" i="14" s="1"/>
  <c r="R26" i="2"/>
  <c r="K42" i="15"/>
  <c r="C82" i="14"/>
  <c r="E82" i="14" s="1"/>
  <c r="F66" i="15"/>
  <c r="C25" i="17"/>
  <c r="E25" i="17" s="1"/>
  <c r="F25" i="17" s="1"/>
  <c r="F208" i="15"/>
  <c r="C24" i="17"/>
  <c r="E24" i="17" s="1"/>
  <c r="F24" i="17" s="1"/>
  <c r="C88" i="14"/>
  <c r="C70" i="14"/>
  <c r="K44" i="15"/>
  <c r="E201" i="15" s="1"/>
  <c r="E66" i="15"/>
  <c r="C61" i="17"/>
  <c r="C34" i="15"/>
  <c r="C36" i="15" s="1"/>
  <c r="F72" i="15" s="1"/>
  <c r="H73" i="15"/>
  <c r="D60" i="17" s="1"/>
  <c r="B60" i="17"/>
  <c r="B69" i="14"/>
  <c r="K16" i="16"/>
  <c r="K15" i="16"/>
  <c r="F15" i="16"/>
  <c r="F16" i="16"/>
  <c r="C25" i="14"/>
  <c r="B3" i="8"/>
  <c r="B2" i="8"/>
  <c r="B1" i="8"/>
  <c r="P3" i="2"/>
  <c r="C43" i="15" s="1"/>
  <c r="G43" i="15" s="1"/>
  <c r="C30" i="14" s="1"/>
  <c r="P4" i="2"/>
  <c r="C44" i="15" s="1"/>
  <c r="G44" i="15" s="1"/>
  <c r="C31" i="14" s="1"/>
  <c r="P5" i="2"/>
  <c r="C45" i="15" s="1"/>
  <c r="G45" i="15" s="1"/>
  <c r="C32" i="14" s="1"/>
  <c r="P6" i="2"/>
  <c r="C46" i="15" s="1"/>
  <c r="P7" i="2"/>
  <c r="C47" i="15" s="1"/>
  <c r="G47" i="15" s="1"/>
  <c r="C35" i="14" s="1"/>
  <c r="P8" i="2"/>
  <c r="C48" i="15" s="1"/>
  <c r="G48" i="15" s="1"/>
  <c r="C36" i="14" s="1"/>
  <c r="P9" i="2"/>
  <c r="C49" i="15" s="1"/>
  <c r="G49" i="15" s="1"/>
  <c r="C37" i="14" s="1"/>
  <c r="P10" i="2"/>
  <c r="C50" i="15" s="1"/>
  <c r="G50" i="15" s="1"/>
  <c r="C38" i="14" s="1"/>
  <c r="P11" i="2"/>
  <c r="C51" i="15" s="1"/>
  <c r="G51" i="15" s="1"/>
  <c r="C39" i="14" s="1"/>
  <c r="P12" i="2"/>
  <c r="C52" i="15" s="1"/>
  <c r="G52" i="15" s="1"/>
  <c r="C40" i="14" s="1"/>
  <c r="P13" i="2"/>
  <c r="C53" i="15" s="1"/>
  <c r="G53" i="15" s="1"/>
  <c r="C41" i="14" s="1"/>
  <c r="P14" i="2"/>
  <c r="C54" i="15" s="1"/>
  <c r="G54" i="15" s="1"/>
  <c r="P17" i="2"/>
  <c r="C56" i="15" s="1"/>
  <c r="P18" i="2"/>
  <c r="P19" i="2"/>
  <c r="P20" i="2"/>
  <c r="P21" i="2"/>
  <c r="P22" i="2"/>
  <c r="C62" i="15" s="1"/>
  <c r="G62" i="15" s="1"/>
  <c r="C58" i="14" s="1"/>
  <c r="C57" i="14" s="1"/>
  <c r="C42" i="15"/>
  <c r="D502" i="7"/>
  <c r="D7" i="7" s="1"/>
  <c r="B5" i="7"/>
  <c r="B3" i="7"/>
  <c r="B2" i="7"/>
  <c r="B1" i="7"/>
  <c r="G109" i="6"/>
  <c r="G7" i="6" s="1"/>
  <c r="F7" i="6"/>
  <c r="B3" i="6"/>
  <c r="B2" i="6"/>
  <c r="B1" i="6"/>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15" i="5"/>
  <c r="C65" i="5"/>
  <c r="B3" i="5"/>
  <c r="B2" i="5"/>
  <c r="B1" i="5"/>
  <c r="C46" i="4"/>
  <c r="H23" i="15" s="1"/>
  <c r="C70" i="15" l="1"/>
  <c r="H121" i="14"/>
  <c r="C121" i="14" s="1"/>
  <c r="D88" i="14"/>
  <c r="D91" i="14" s="1"/>
  <c r="E91" i="14" s="1"/>
  <c r="E88" i="14"/>
  <c r="F201" i="15"/>
  <c r="C60" i="15"/>
  <c r="G60" i="15" s="1"/>
  <c r="C55" i="14" s="1"/>
  <c r="C57" i="15"/>
  <c r="G57" i="15" s="1"/>
  <c r="C48" i="14" s="1"/>
  <c r="C28" i="14"/>
  <c r="C43" i="14"/>
  <c r="C42" i="14" s="1"/>
  <c r="C58" i="15"/>
  <c r="C61" i="15"/>
  <c r="C58" i="17" s="1"/>
  <c r="C57" i="17" s="1"/>
  <c r="C59" i="15"/>
  <c r="G59" i="15" s="1"/>
  <c r="C52" i="14" s="1"/>
  <c r="C20" i="17"/>
  <c r="C21" i="14"/>
  <c r="P4" i="12"/>
  <c r="P771" i="12"/>
  <c r="P5" i="12" s="1"/>
  <c r="N4" i="8"/>
  <c r="N511" i="8"/>
  <c r="N5" i="8" s="1"/>
  <c r="H74" i="15"/>
  <c r="D69" i="14"/>
  <c r="F183" i="15"/>
  <c r="E183" i="15"/>
  <c r="G56" i="15"/>
  <c r="C47" i="14" s="1"/>
  <c r="G46" i="15"/>
  <c r="C33" i="14" s="1"/>
  <c r="G42" i="15"/>
  <c r="P26" i="2"/>
  <c r="T21" i="2" s="1"/>
  <c r="F65" i="5"/>
  <c r="F13" i="5" s="1"/>
  <c r="C76" i="17" s="1"/>
  <c r="C43" i="4"/>
  <c r="K25" i="15" s="1"/>
  <c r="C21" i="4"/>
  <c r="C27" i="15" s="1"/>
  <c r="C14" i="4"/>
  <c r="C30" i="15" s="1"/>
  <c r="B3" i="4"/>
  <c r="B2" i="4"/>
  <c r="B1" i="4"/>
  <c r="I48" i="3"/>
  <c r="I6" i="3" s="1"/>
  <c r="E33" i="4" s="1"/>
  <c r="B3" i="3"/>
  <c r="L8" i="3" s="1"/>
  <c r="B2" i="3"/>
  <c r="B1" i="3"/>
  <c r="C18" i="1"/>
  <c r="C17" i="1"/>
  <c r="E8" i="15"/>
  <c r="B16" i="1"/>
  <c r="E14" i="1"/>
  <c r="F14" i="1"/>
  <c r="E108" i="15" l="1"/>
  <c r="F108" i="15"/>
  <c r="C66" i="15"/>
  <c r="H122" i="14" s="1"/>
  <c r="G58" i="15"/>
  <c r="C51" i="14" s="1"/>
  <c r="G61" i="15"/>
  <c r="K45" i="15"/>
  <c r="C201" i="15" s="1"/>
  <c r="G201" i="15" s="1"/>
  <c r="C67" i="14"/>
  <c r="C66" i="14" s="1"/>
  <c r="K69" i="15"/>
  <c r="K74" i="15" s="1"/>
  <c r="C19" i="15"/>
  <c r="F19" i="15" s="1"/>
  <c r="C34" i="14"/>
  <c r="C54" i="14"/>
  <c r="C28" i="17"/>
  <c r="F29" i="14" s="1"/>
  <c r="C33" i="17"/>
  <c r="F34" i="14" s="1"/>
  <c r="E9" i="5"/>
  <c r="E10" i="5"/>
  <c r="C29" i="14"/>
  <c r="C114" i="15"/>
  <c r="C108" i="14"/>
  <c r="F70" i="15"/>
  <c r="C69" i="15" l="1"/>
  <c r="C72" i="15" s="1"/>
  <c r="C74" i="15" s="1"/>
  <c r="E111" i="15" s="1"/>
  <c r="L48" i="3"/>
  <c r="L6" i="3" s="1"/>
  <c r="C108" i="15"/>
  <c r="D67" i="14" s="1"/>
  <c r="F109" i="15"/>
  <c r="D70" i="14"/>
  <c r="E70" i="14" s="1"/>
  <c r="G108" i="15"/>
  <c r="G66" i="15"/>
  <c r="C102" i="15"/>
  <c r="C46" i="14"/>
  <c r="C50" i="14"/>
  <c r="C19" i="14"/>
  <c r="B19" i="14" s="1"/>
  <c r="C18" i="17"/>
  <c r="B18" i="17" s="1"/>
  <c r="C20" i="15"/>
  <c r="F20" i="15" s="1"/>
  <c r="C42" i="17"/>
  <c r="F46" i="14" s="1"/>
  <c r="C46" i="17"/>
  <c r="F50" i="14" s="1"/>
  <c r="C50" i="17"/>
  <c r="F54" i="14" s="1"/>
  <c r="F92" i="15"/>
  <c r="F90" i="15"/>
  <c r="E91" i="15"/>
  <c r="E95" i="15"/>
  <c r="E99" i="15"/>
  <c r="E100" i="15"/>
  <c r="E92" i="15"/>
  <c r="E93" i="15"/>
  <c r="E97" i="15"/>
  <c r="F97" i="15"/>
  <c r="F101" i="15"/>
  <c r="C92" i="15"/>
  <c r="C100" i="15"/>
  <c r="C93" i="15"/>
  <c r="C94" i="15"/>
  <c r="C89" i="15"/>
  <c r="C95" i="15"/>
  <c r="D27" i="14"/>
  <c r="C18" i="15"/>
  <c r="F93" i="15" l="1"/>
  <c r="C99" i="15"/>
  <c r="F96" i="15"/>
  <c r="E98" i="15"/>
  <c r="F174" i="15"/>
  <c r="F175" i="15" s="1"/>
  <c r="F176" i="15" s="1"/>
  <c r="F180" i="15" s="1"/>
  <c r="C91" i="15"/>
  <c r="E96" i="15"/>
  <c r="E94" i="15"/>
  <c r="C106" i="15"/>
  <c r="C97" i="15"/>
  <c r="E103" i="15"/>
  <c r="F99" i="15"/>
  <c r="E90" i="15"/>
  <c r="C105" i="15"/>
  <c r="C98" i="15"/>
  <c r="F103" i="15"/>
  <c r="F95" i="15"/>
  <c r="C90" i="15"/>
  <c r="E105" i="15"/>
  <c r="F91" i="15"/>
  <c r="C96" i="15"/>
  <c r="F105" i="15"/>
  <c r="F100" i="15"/>
  <c r="F110" i="15"/>
  <c r="F98" i="15"/>
  <c r="F94" i="15"/>
  <c r="F111" i="15"/>
  <c r="C111" i="15"/>
  <c r="C104" i="15"/>
  <c r="C110" i="15"/>
  <c r="C109" i="15"/>
  <c r="C101" i="15"/>
  <c r="C107" i="15"/>
  <c r="D58" i="17" s="1"/>
  <c r="E58" i="17" s="1"/>
  <c r="F58" i="17" s="1"/>
  <c r="F107" i="15"/>
  <c r="C103" i="15"/>
  <c r="E101" i="15"/>
  <c r="E107" i="15"/>
  <c r="E109" i="15"/>
  <c r="E110" i="15"/>
  <c r="C122" i="14"/>
  <c r="C120" i="14" s="1"/>
  <c r="K43" i="15"/>
  <c r="C200" i="15" s="1"/>
  <c r="K23" i="15"/>
  <c r="F69" i="15" s="1"/>
  <c r="C17" i="17" s="1"/>
  <c r="B17" i="17" s="1"/>
  <c r="B281" i="15"/>
  <c r="C27" i="14"/>
  <c r="E27" i="14" s="1"/>
  <c r="E67" i="14"/>
  <c r="E66" i="14" s="1"/>
  <c r="D66" i="14"/>
  <c r="C26" i="17"/>
  <c r="F27" i="14" s="1"/>
  <c r="E27" i="17"/>
  <c r="F18" i="15"/>
  <c r="E61" i="14"/>
  <c r="E62" i="14"/>
  <c r="E176" i="15" l="1"/>
  <c r="G111" i="15"/>
  <c r="D61" i="17"/>
  <c r="E61" i="17" s="1"/>
  <c r="E57" i="17" s="1"/>
  <c r="G110" i="15"/>
  <c r="C112" i="15"/>
  <c r="G107" i="15"/>
  <c r="G109" i="15"/>
  <c r="F197" i="15"/>
  <c r="C187" i="15"/>
  <c r="E191" i="15"/>
  <c r="C186" i="15"/>
  <c r="D57" i="17"/>
  <c r="F57" i="17" s="1"/>
  <c r="F198" i="15"/>
  <c r="K46" i="15"/>
  <c r="E196" i="15"/>
  <c r="F189" i="15"/>
  <c r="C196" i="15"/>
  <c r="F195" i="15"/>
  <c r="E187" i="15"/>
  <c r="C194" i="15"/>
  <c r="F194" i="15"/>
  <c r="E199" i="15"/>
  <c r="F186" i="15"/>
  <c r="F185" i="15"/>
  <c r="C195" i="15"/>
  <c r="C191" i="15"/>
  <c r="F199" i="15"/>
  <c r="E195" i="15"/>
  <c r="C190" i="15"/>
  <c r="E194" i="15"/>
  <c r="E198" i="15"/>
  <c r="E186" i="15"/>
  <c r="E190" i="15"/>
  <c r="C198" i="15"/>
  <c r="C18" i="14"/>
  <c r="B18" i="14" s="1"/>
  <c r="F71" i="15"/>
  <c r="C20" i="14" s="1"/>
  <c r="C183" i="15"/>
  <c r="G183" i="15" s="1"/>
  <c r="F190" i="15"/>
  <c r="C189" i="15"/>
  <c r="E189" i="15"/>
  <c r="F192" i="15"/>
  <c r="C199" i="15"/>
  <c r="F187" i="15"/>
  <c r="F191" i="15"/>
  <c r="C197" i="15"/>
  <c r="C188" i="15"/>
  <c r="E192" i="15"/>
  <c r="E197" i="15"/>
  <c r="F196" i="15"/>
  <c r="F27" i="17"/>
  <c r="F61" i="17"/>
  <c r="C185" i="15"/>
  <c r="E185" i="15"/>
  <c r="C184" i="15"/>
  <c r="E188" i="15"/>
  <c r="F188" i="15"/>
  <c r="E184" i="15"/>
  <c r="E200" i="15"/>
  <c r="F200" i="15"/>
  <c r="F184" i="15"/>
  <c r="C193" i="15"/>
  <c r="E193" i="15"/>
  <c r="F193" i="15"/>
  <c r="C192" i="15"/>
  <c r="G98" i="15"/>
  <c r="G103" i="15"/>
  <c r="G91" i="15"/>
  <c r="G105" i="15"/>
  <c r="G92" i="15"/>
  <c r="G95" i="15"/>
  <c r="G102" i="15"/>
  <c r="G104" i="15"/>
  <c r="G93" i="15"/>
  <c r="G97" i="15"/>
  <c r="G101" i="15"/>
  <c r="G106" i="15"/>
  <c r="G96" i="15"/>
  <c r="G90" i="15"/>
  <c r="G99" i="15"/>
  <c r="G100" i="15"/>
  <c r="G94" i="15"/>
  <c r="G187" i="15" l="1"/>
  <c r="G198" i="15"/>
  <c r="G195" i="15"/>
  <c r="G194" i="15"/>
  <c r="G186" i="15"/>
  <c r="G191" i="15"/>
  <c r="G199" i="15"/>
  <c r="G190" i="15"/>
  <c r="G189" i="15"/>
  <c r="C19" i="17"/>
  <c r="F73" i="15"/>
  <c r="F74" i="15" s="1"/>
  <c r="G197" i="15"/>
  <c r="G192" i="15"/>
  <c r="E51" i="17"/>
  <c r="E47" i="17"/>
  <c r="E39" i="17"/>
  <c r="F39" i="17" s="1"/>
  <c r="E35" i="17"/>
  <c r="F35" i="17" s="1"/>
  <c r="E31" i="17"/>
  <c r="F31" i="17" s="1"/>
  <c r="G200" i="15"/>
  <c r="G184" i="15"/>
  <c r="F206" i="15"/>
  <c r="G196" i="15"/>
  <c r="G193" i="15"/>
  <c r="E206" i="15"/>
  <c r="C206" i="15"/>
  <c r="G185" i="15"/>
  <c r="G188" i="15"/>
  <c r="C21" i="17" l="1"/>
  <c r="B21" i="17" s="1"/>
  <c r="C22" i="14"/>
  <c r="B22" i="14" s="1"/>
  <c r="F51" i="17"/>
  <c r="F50" i="17" s="1"/>
  <c r="E50" i="17"/>
  <c r="F47" i="17"/>
  <c r="E41" i="17"/>
  <c r="F41" i="17" s="1"/>
  <c r="E40" i="17"/>
  <c r="F40" i="17" s="1"/>
  <c r="E38" i="17"/>
  <c r="F38" i="17" s="1"/>
  <c r="E30" i="17"/>
  <c r="F30" i="17" s="1"/>
  <c r="E32" i="17"/>
  <c r="F32" i="17" s="1"/>
  <c r="E37" i="17"/>
  <c r="F37" i="17" s="1"/>
  <c r="E36" i="17"/>
  <c r="F36" i="17" s="1"/>
  <c r="E48" i="17"/>
  <c r="F48" i="17" s="1"/>
  <c r="E29" i="17"/>
  <c r="E34" i="17"/>
  <c r="E44" i="17"/>
  <c r="C174" i="15"/>
  <c r="C175" i="15"/>
  <c r="C177" i="15"/>
  <c r="G206" i="15"/>
  <c r="D25" i="14"/>
  <c r="B124" i="14" s="1"/>
  <c r="B120" i="14" s="1"/>
  <c r="C17" i="15"/>
  <c r="F17" i="15" s="1"/>
  <c r="F89" i="15"/>
  <c r="F112" i="15" s="1"/>
  <c r="E89" i="15"/>
  <c r="E112" i="15" s="1"/>
  <c r="E25" i="14" l="1"/>
  <c r="D73" i="14" s="1"/>
  <c r="D94" i="14" s="1"/>
  <c r="C176" i="15"/>
  <c r="C178" i="15" s="1"/>
  <c r="F46" i="17"/>
  <c r="F44" i="17"/>
  <c r="F42" i="17" s="1"/>
  <c r="E42" i="17"/>
  <c r="F34" i="17"/>
  <c r="F33" i="17" s="1"/>
  <c r="E33" i="17"/>
  <c r="F29" i="17"/>
  <c r="F28" i="17" s="1"/>
  <c r="E28" i="17"/>
  <c r="E46" i="17"/>
  <c r="C73" i="17"/>
  <c r="E73" i="17" s="1"/>
  <c r="F73" i="17" s="1"/>
  <c r="G89" i="15"/>
  <c r="G112" i="15" s="1"/>
  <c r="C98" i="14" l="1"/>
  <c r="C97" i="14" s="1"/>
  <c r="E97" i="14" s="1"/>
  <c r="E26" i="17"/>
  <c r="E64" i="17" s="1"/>
  <c r="F26" i="17"/>
  <c r="F64" i="17" s="1"/>
  <c r="C72" i="17"/>
  <c r="E72" i="17" s="1"/>
  <c r="F72" i="17" s="1"/>
  <c r="C179" i="15"/>
  <c r="B178" i="15"/>
  <c r="E98" i="14" l="1"/>
  <c r="C180" i="15"/>
  <c r="B179" i="15"/>
  <c r="C82" i="4" l="1"/>
  <c r="C1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André Van Kaufenbergh</author>
  </authors>
  <commentList>
    <comment ref="C36" authorId="0" shapeId="0" xr:uid="{5B617FBD-92CF-4D0C-A6C6-C24E27C94475}">
      <text>
        <r>
          <rPr>
            <b/>
            <sz val="9"/>
            <color indexed="81"/>
            <rFont val="Tahoma"/>
            <family val="2"/>
          </rPr>
          <t>MENJE:</t>
        </r>
        <r>
          <rPr>
            <sz val="9"/>
            <color indexed="81"/>
            <rFont val="Tahoma"/>
            <family val="2"/>
          </rPr>
          <t xml:space="preserve">
Merci de fournir uniquement les heures accordées pour les "projets spécifiques" par le MENJE et veuillez également inclure une copie de l'accord lors de l'envoi de ce décompte. Les heures allouées pour le renfort temporaire doivent être indiquées dans l'onglet dédié aux "Renforts Temporaires".</t>
        </r>
      </text>
    </comment>
    <comment ref="C37" authorId="0" shapeId="0" xr:uid="{A6C38BEB-BCE1-425B-AD63-15DCEB7E1675}">
      <text>
        <r>
          <rPr>
            <b/>
            <sz val="9"/>
            <color indexed="81"/>
            <rFont val="Tahoma"/>
            <family val="2"/>
          </rPr>
          <t>MENJE:</t>
        </r>
        <r>
          <rPr>
            <sz val="9"/>
            <color indexed="81"/>
            <rFont val="Tahoma"/>
            <family val="2"/>
          </rPr>
          <t xml:space="preserve">
Merci de spécifier uniquement les frais de fonctionnement accordés pour les "projets spécifiques" par le MENJE, et veuillez également inclure une copie de l'accord lors de l'envoi de ce décompte.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<sst xmlns="http://schemas.openxmlformats.org/spreadsheetml/2006/main" count="1827" uniqueCount="738">
  <si>
    <t>DECOMPTE ANNUEL</t>
  </si>
  <si>
    <t>Bipartite</t>
  </si>
  <si>
    <t>Tripartite</t>
  </si>
  <si>
    <t>COMMUNE</t>
  </si>
  <si>
    <t>[adresse]</t>
  </si>
  <si>
    <t>[code postal]</t>
  </si>
  <si>
    <t>QUALIFICATION</t>
  </si>
  <si>
    <t>N° TELEPHONE</t>
  </si>
  <si>
    <t>ADRESSE E-MAIL</t>
  </si>
  <si>
    <t>Renseignements sur l'organisme gestionnaire / Administration communale</t>
  </si>
  <si>
    <t>ANNEE</t>
  </si>
  <si>
    <t>TYPE DE CONVENTION</t>
  </si>
  <si>
    <t>FINANCEMENT CONVENTION</t>
  </si>
  <si>
    <t>Etat</t>
  </si>
  <si>
    <r>
      <t xml:space="preserve">NOM DU SEA </t>
    </r>
    <r>
      <rPr>
        <sz val="8"/>
        <color theme="1"/>
        <rFont val="Calibri"/>
        <family val="2"/>
        <scheme val="minor"/>
      </rPr>
      <t>(p.ex. Maison Relais "Nom Commune")</t>
    </r>
  </si>
  <si>
    <t>1ère PERSONNE DE CONTACT DE L'ORGANISME GESTIONNAIRE</t>
  </si>
  <si>
    <t>2e PERSONNE DE CONTACT DE L'ORGANISME GESTIONNAIRE</t>
  </si>
  <si>
    <t xml:space="preserve">Renseignements sur le service de l'éducation et de l'accueil </t>
  </si>
  <si>
    <t>RELEVE DES SERVICES D'EDUCATION ET D'ACCUEIL</t>
  </si>
  <si>
    <t>N°</t>
  </si>
  <si>
    <t>Nom</t>
  </si>
  <si>
    <t>Adresse</t>
  </si>
  <si>
    <t>Code Postal</t>
  </si>
  <si>
    <t>Ville</t>
  </si>
  <si>
    <t>N° Agrément</t>
  </si>
  <si>
    <t>Capacité maximale
(Agrément)</t>
  </si>
  <si>
    <t>Inclusion
(Oui/Non)</t>
  </si>
  <si>
    <t>Date d'accord inclusion</t>
  </si>
  <si>
    <t>Heures inclusion accordées</t>
  </si>
  <si>
    <t>OUI</t>
  </si>
  <si>
    <t>NON</t>
  </si>
  <si>
    <t>Total</t>
  </si>
  <si>
    <t>DONNEES GENERALES</t>
  </si>
  <si>
    <t>Gestionnaire</t>
  </si>
  <si>
    <t>ASBL</t>
  </si>
  <si>
    <t>ANNE</t>
  </si>
  <si>
    <t>ARCUS</t>
  </si>
  <si>
    <t>INTER-ACTIONS</t>
  </si>
  <si>
    <t>CROIX-ROUGE</t>
  </si>
  <si>
    <t>CARITAS J&amp;F</t>
  </si>
  <si>
    <t>CAJL</t>
  </si>
  <si>
    <t>FONCTION ENCADREMENT</t>
  </si>
  <si>
    <t>Total enfants</t>
  </si>
  <si>
    <t xml:space="preserve">       -dont nombre d'enfants inscrits au précoce*</t>
  </si>
  <si>
    <t>Ouverture pendant l'année</t>
  </si>
  <si>
    <t>CHEQUE-SERVICE ACCUEIL</t>
  </si>
  <si>
    <t>PROGRAMME INFORMATIQUE DE SAISIE CSA</t>
  </si>
  <si>
    <t>HEURES PROJETS SPECIFIQUES</t>
  </si>
  <si>
    <t>SEA ELIGIBLE POUR LE PROGRAMME PLURILINGUE</t>
  </si>
  <si>
    <t>depuis le</t>
  </si>
  <si>
    <t>FONCTION REPAS</t>
  </si>
  <si>
    <t xml:space="preserve">Nombre de repas servis pendant l'année : </t>
  </si>
  <si>
    <t xml:space="preserve">dont interne : </t>
  </si>
  <si>
    <t xml:space="preserve">dont externe : </t>
  </si>
  <si>
    <t>Utilisation d'un prestataire externe</t>
  </si>
  <si>
    <t>Prix par repas unitaire si prestataire externe</t>
  </si>
  <si>
    <t>Coordonnées du prestataire externe</t>
  </si>
  <si>
    <t>Repas préprarés pour d'autres structures</t>
  </si>
  <si>
    <t>Prix par repas unitaire facturé</t>
  </si>
  <si>
    <t>Nombre de repas facturés</t>
  </si>
  <si>
    <t>FONCTION NETTOYAGE</t>
  </si>
  <si>
    <t>Heures de nettoyage par semaine</t>
  </si>
  <si>
    <t>ADMINISTRATION CENTRALE</t>
  </si>
  <si>
    <t xml:space="preserve">Révision du décompte effectuée par : </t>
  </si>
  <si>
    <t xml:space="preserve">Comptabilité préparée par : </t>
  </si>
  <si>
    <t>*sont à inscrire les enfants qui fréquentent pendant au moins 1 fois par semaine le précoce</t>
  </si>
  <si>
    <t>semaines</t>
  </si>
  <si>
    <t>heures annuelles</t>
  </si>
  <si>
    <t>heures</t>
  </si>
  <si>
    <t>EUR</t>
  </si>
  <si>
    <t>repas</t>
  </si>
  <si>
    <t/>
  </si>
  <si>
    <t>Interne et externe</t>
  </si>
  <si>
    <t>Prestataire</t>
  </si>
  <si>
    <t>Fiduciaire</t>
  </si>
  <si>
    <t>Service conventionné</t>
  </si>
  <si>
    <t>Commune</t>
  </si>
  <si>
    <t>Non applicable - ASBL conventionnée</t>
  </si>
  <si>
    <t>RELEVE BENFICIAIRES DE PROTECTION INTERNATIONALE (BPI)</t>
  </si>
  <si>
    <t xml:space="preserve">Coordonnées bancaires de la commune : </t>
  </si>
  <si>
    <t xml:space="preserve">IBAN : </t>
  </si>
  <si>
    <t xml:space="preserve">BIC : </t>
  </si>
  <si>
    <t>Initiales du nom de l'enfant</t>
  </si>
  <si>
    <t>du</t>
  </si>
  <si>
    <t>au</t>
  </si>
  <si>
    <t>Aide étatique</t>
  </si>
  <si>
    <t>Initiales</t>
  </si>
  <si>
    <t>hrs/sem 
accordées</t>
  </si>
  <si>
    <t>Compte</t>
  </si>
  <si>
    <t>Intitulé de compte</t>
  </si>
  <si>
    <t>Montant</t>
  </si>
  <si>
    <t>Allocation</t>
  </si>
  <si>
    <t>Commentaire</t>
  </si>
  <si>
    <t>Encadrement</t>
  </si>
  <si>
    <t>Frais de gestion - Bâtiment</t>
  </si>
  <si>
    <t>Frais de gestion - Bureau</t>
  </si>
  <si>
    <t>Frais de gestion - Autres</t>
  </si>
  <si>
    <t>Frais de gestion - Pharmacie - soins</t>
  </si>
  <si>
    <t>Admin. centrale - Compta - Révision</t>
  </si>
  <si>
    <t>Admin. centrale - Salaires</t>
  </si>
  <si>
    <t>Admin. centrale - RH</t>
  </si>
  <si>
    <t>Admin. centrale - IT management</t>
  </si>
  <si>
    <t>Admin. centrale - Direction</t>
  </si>
  <si>
    <t>Admin. centrale - Supervision</t>
  </si>
  <si>
    <t>Admin. centrale - Formation</t>
  </si>
  <si>
    <t>Repas - Interne</t>
  </si>
  <si>
    <t>Repas - Externe</t>
  </si>
  <si>
    <t>Nettoyage - Interne</t>
  </si>
  <si>
    <t>Nettoyage - Externe</t>
  </si>
  <si>
    <t>Transport</t>
  </si>
  <si>
    <t>Projets spécifiques &amp; EBS</t>
  </si>
  <si>
    <t>Admin. centrale - Chargé(e) de direction</t>
  </si>
  <si>
    <t>Dropdown1</t>
  </si>
  <si>
    <t>Dropdown2</t>
  </si>
  <si>
    <t>Dropdown3</t>
  </si>
  <si>
    <t>Dropdown5</t>
  </si>
  <si>
    <t>dropdown6</t>
  </si>
  <si>
    <t>Dropdown7</t>
  </si>
  <si>
    <t>Dropdown8</t>
  </si>
  <si>
    <t>FF</t>
  </si>
  <si>
    <t>FP SAS</t>
  </si>
  <si>
    <t>FP Commune</t>
  </si>
  <si>
    <t>Prénom</t>
  </si>
  <si>
    <t>Matricule</t>
  </si>
  <si>
    <t>Carrière</t>
  </si>
  <si>
    <t>Points</t>
  </si>
  <si>
    <t>Heures annuelles RTT</t>
  </si>
  <si>
    <t>Heures de maladie</t>
  </si>
  <si>
    <t>Autres absences motivées</t>
  </si>
  <si>
    <t>Brut</t>
  </si>
  <si>
    <t>Autres primes</t>
  </si>
  <si>
    <t>Part patronale</t>
  </si>
  <si>
    <t>Remboursement
Mutualité</t>
  </si>
  <si>
    <t>Remboursement
Autres</t>
  </si>
  <si>
    <t>Total global</t>
  </si>
  <si>
    <t>Dont non opposable</t>
  </si>
  <si>
    <t>Total éligible</t>
  </si>
  <si>
    <t>Nom de la structure</t>
  </si>
  <si>
    <t>Allocation fonctions</t>
  </si>
  <si>
    <t>Code Convention</t>
  </si>
  <si>
    <t>TABLEAU DES CARRIERES</t>
  </si>
  <si>
    <t>PROFESSIONS DE SANTE</t>
  </si>
  <si>
    <t>PS1</t>
  </si>
  <si>
    <t>Assistant social, assistant d'hygiène sociale, ergothérapeute, kinésithérapeute, infirmier, hospitalier gradué, laborantin, diététicien, ergothérapeute, psychomotricien, orthophoniste, pédagogue curatif</t>
  </si>
  <si>
    <t>PS2</t>
  </si>
  <si>
    <t xml:space="preserve"> Sage‐femme, ATM chirurgie, infirmier anesthésiste, masseur</t>
  </si>
  <si>
    <t>PS3</t>
  </si>
  <si>
    <t xml:space="preserve"> Infirmier psychiatrique, infirmier en pédiatrie</t>
  </si>
  <si>
    <t>PS4</t>
  </si>
  <si>
    <t>Infirmier, assistant technique médical de radiologie et assistant technique médical de laboratoire</t>
  </si>
  <si>
    <t>PS5</t>
  </si>
  <si>
    <t xml:space="preserve"> Aide‐soignant</t>
  </si>
  <si>
    <t>PROFESSIONS SOCIO‐EDUCATIVES</t>
  </si>
  <si>
    <t>PE1 a)</t>
  </si>
  <si>
    <t xml:space="preserve"> Universitaire</t>
  </si>
  <si>
    <t>PE1 b)</t>
  </si>
  <si>
    <t>PE3</t>
  </si>
  <si>
    <t xml:space="preserve"> Éducateur gradué</t>
  </si>
  <si>
    <t>PE3 form.</t>
  </si>
  <si>
    <t>PE4 a)</t>
  </si>
  <si>
    <t xml:space="preserve"> Éducateur Instructeur niveau fin d'études secondaires ou secondaires techniques</t>
  </si>
  <si>
    <t>PE4 b)</t>
  </si>
  <si>
    <t>PE5 a)</t>
  </si>
  <si>
    <t xml:space="preserve"> Éducateur diplômé</t>
  </si>
  <si>
    <t>PE5 b)</t>
  </si>
  <si>
    <t>PE5 c)</t>
  </si>
  <si>
    <t>PE5 form.</t>
  </si>
  <si>
    <t>PE6 a)</t>
  </si>
  <si>
    <t xml:space="preserve"> Éducateur Instructeur</t>
  </si>
  <si>
    <t>PE6 b)</t>
  </si>
  <si>
    <t>PE6 c)</t>
  </si>
  <si>
    <t>PE7 a)</t>
  </si>
  <si>
    <t xml:space="preserve"> Aidant social et éducatif niveau CATP Remarque</t>
  </si>
  <si>
    <t>PE7 b)</t>
  </si>
  <si>
    <t>PERSONNEL ADMINISTRATIF, LOGISTIQUE ET TECHNIQUE</t>
  </si>
  <si>
    <t>PA1 a)</t>
  </si>
  <si>
    <t xml:space="preserve"> Salarié administratif, logistique ou technique universitaire</t>
  </si>
  <si>
    <t>PA1 b)</t>
  </si>
  <si>
    <t>PA3 a)</t>
  </si>
  <si>
    <t>Salarié détenteur du certificat de fin d'études secondaires ou du certificat de fin d'études secondaires techniques et l'ingénieur technicien</t>
  </si>
  <si>
    <t>PA3 b)</t>
  </si>
  <si>
    <t>PA4 a)</t>
  </si>
  <si>
    <t>Technicien, artisan avec brevet de maîtrise, salarié détenteur d'un CATP ou CAP, salarié ayant réussi la classe de 3e secondaire, salarié détenteur du certificat de fin d'études de l'enseignement moyen, salarié ayant réussi 5 années d'enseignement secondaire technique dans le régime technique ou dans le régime du technicien</t>
  </si>
  <si>
    <t>PA4 b)</t>
  </si>
  <si>
    <t>PA5 a)</t>
  </si>
  <si>
    <t>Salarié ayant réussi une 5e secondaire ou équivalent ou la classe 9e secondaire technique et ayant une expérience professionnelle de 2 ans au moins</t>
  </si>
  <si>
    <t>PA5 b)</t>
  </si>
  <si>
    <t>PA6 c)</t>
  </si>
  <si>
    <t>Salarié avec une qualification inférieure à une 5e secondaire ou une 9e secondaire technique</t>
  </si>
  <si>
    <t xml:space="preserve">PA7 </t>
  </si>
  <si>
    <t>Salarié sans diplôme</t>
  </si>
  <si>
    <t>PERSONNEL A TÂCHE ARTISANALE ET MANUELLE</t>
  </si>
  <si>
    <t>PAM1</t>
  </si>
  <si>
    <t xml:space="preserve"> Artisan détenteur d'un CAP ou CATP ‐ Auxiliaire économe avec CAP ou CATP</t>
  </si>
  <si>
    <t>PAM2</t>
  </si>
  <si>
    <t xml:space="preserve"> Salarié non diplômé chargé de travaux artisanaux / salarié à tâche artisanale / aide sociofamilial</t>
  </si>
  <si>
    <t>PAM3 a)</t>
  </si>
  <si>
    <t xml:space="preserve"> Salarié sans diplôme (le salarié PAM3 peut être promu dans la carrière PAM2)</t>
  </si>
  <si>
    <t>PAM3 b)</t>
  </si>
  <si>
    <t>Etudiant</t>
  </si>
  <si>
    <t>Autres</t>
  </si>
  <si>
    <t>Ouvriers</t>
  </si>
  <si>
    <t>TABLEAU DES PROFESSIONS PAR CARRIERE NOUVEAU CCT SAS</t>
  </si>
  <si>
    <t xml:space="preserve">C1 </t>
  </si>
  <si>
    <t>Professions administratives, logistiques et technique sans qualification</t>
  </si>
  <si>
    <t>Professions artisanale et manuelle sans qualification</t>
  </si>
  <si>
    <t>C2</t>
  </si>
  <si>
    <t>Aide socio-familiale</t>
  </si>
  <si>
    <t>Professions administratives, logistiques et techniques avec 5ème ES (ou équivalent) ou 9ème EST et 2 années d’expérience</t>
  </si>
  <si>
    <t>Professions artisanales et manuelles</t>
  </si>
  <si>
    <t>C3</t>
  </si>
  <si>
    <t>Aide-soignant</t>
  </si>
  <si>
    <t>Auxiliaire économe / Auxiliaire de vie</t>
  </si>
  <si>
    <t>Éducateur-instructeur</t>
  </si>
  <si>
    <t>Professions artisanales et manuelles avec DAP (CATP)</t>
  </si>
  <si>
    <t>Professions administratives, logistiques et techniques avec DAP (CATP)</t>
  </si>
  <si>
    <t>Professions administratives, logistiques et techniques avec brevet de maîtrise *</t>
  </si>
  <si>
    <t>Professions administratives, logistiques et techniques avec 3ème ES ou 11ème EST ou certificat de fin d’études de l’enseignement moyen</t>
  </si>
  <si>
    <t>C4</t>
  </si>
  <si>
    <t>Éducateur diplômé</t>
  </si>
  <si>
    <t>Éducateur-instructeur avec certificat de fin d’études secondaires ou de fin d’études secondaires techniques</t>
  </si>
  <si>
    <t>Ingénieur technicien</t>
  </si>
  <si>
    <t>Professions administratives, logistiques et techniques avec certificat de fin d’études secondaires ou de fin d’études secondaires techniques</t>
  </si>
  <si>
    <t>C5</t>
  </si>
  <si>
    <t>Infirmier diplômé</t>
  </si>
  <si>
    <t>Professions administratives, logistiques et techniques avec BTS</t>
  </si>
  <si>
    <t>C5*</t>
  </si>
  <si>
    <t>ATM en chirurgie</t>
  </si>
  <si>
    <t>ATM de laboratoire</t>
  </si>
  <si>
    <t>ATM de radiologie</t>
  </si>
  <si>
    <t>Infirmier anesthésiste</t>
  </si>
  <si>
    <t>Infirmier en pédiatrie</t>
  </si>
  <si>
    <t>Infirmier psychiatrique</t>
  </si>
  <si>
    <t>Sage-femme</t>
  </si>
  <si>
    <t>C6</t>
  </si>
  <si>
    <t>Assistant d’hygiène sociale</t>
  </si>
  <si>
    <t>Assistant social</t>
  </si>
  <si>
    <t>Diététicien</t>
  </si>
  <si>
    <t>Éducateur gradué</t>
  </si>
  <si>
    <t>Ergothérapeute</t>
  </si>
  <si>
    <t>Infirmier hospitalier gradué</t>
  </si>
  <si>
    <t>Kinésithérapeute</t>
  </si>
  <si>
    <t>Laborantin</t>
  </si>
  <si>
    <t>Orthophoniste</t>
  </si>
  <si>
    <t>Pédagogue curatif</t>
  </si>
  <si>
    <t>Psychomotricien</t>
  </si>
  <si>
    <t>Professions administratives, logistiques et techniques avec Bachelor</t>
  </si>
  <si>
    <t>Professions socio-éducatives avec Bachelor</t>
  </si>
  <si>
    <t>Professions de santé avec Bachelor</t>
  </si>
  <si>
    <t>C7</t>
  </si>
  <si>
    <t>Professions administratives, logistiques et techniques avec Master</t>
  </si>
  <si>
    <t>Professions de santé avec Master</t>
  </si>
  <si>
    <t>Professions socio-éducatives avec Master</t>
  </si>
  <si>
    <t>Dropdown9</t>
  </si>
  <si>
    <t>Fonction</t>
  </si>
  <si>
    <t>Ouvrier</t>
  </si>
  <si>
    <t>C1 Professions administratives, logistiques et technique sans qualification</t>
  </si>
  <si>
    <t>C1 Professions artisanale et manuelle sans qualification</t>
  </si>
  <si>
    <t>C2 Aide socio-familiale</t>
  </si>
  <si>
    <t>C2 Professions administratives, logistiques et techniques avec 5ème ES (ou équivalent) ou 9ème EST et 2 années d’expérience</t>
  </si>
  <si>
    <t>C2 Professions artisanales et manuelles</t>
  </si>
  <si>
    <t>C3 Aide-soignant</t>
  </si>
  <si>
    <t>C3 Auxiliaire économe / Auxiliaire de vie</t>
  </si>
  <si>
    <t>C3 Éducateur-instructeur</t>
  </si>
  <si>
    <t>C3 Professions artisanales et manuelles avec DAP (CATP)</t>
  </si>
  <si>
    <t>C3 Professions administratives, logistiques et techniques avec DAP (CATP)</t>
  </si>
  <si>
    <t>C3 Professions administratives, logistiques et techniques avec brevet de maîtrise *</t>
  </si>
  <si>
    <t>C3 Professions administratives, logistiques et techniques avec 3ème ES ou 11ème EST ou certificat de fin d’études de l’enseignement moyen</t>
  </si>
  <si>
    <t>C4 Éducateur diplômé</t>
  </si>
  <si>
    <t>C4 Éducateur-instructeur avec certificat de fin d’études secondaires ou de fin d’études secondaires techniques</t>
  </si>
  <si>
    <t>C4 Ingénieur technicien</t>
  </si>
  <si>
    <t>C4 Professions administratives, logistiques et techniques avec certificat de fin d’études secondaires ou de fin d’études secondaires techniques</t>
  </si>
  <si>
    <t>C5 Infirmier diplômé</t>
  </si>
  <si>
    <t>C5 Professions administratives, logistiques et techniques avec BTS</t>
  </si>
  <si>
    <t>C5* ATM en chirurgie</t>
  </si>
  <si>
    <t>C5* ATM de laboratoire</t>
  </si>
  <si>
    <t>C5* ATM de radiologie</t>
  </si>
  <si>
    <t>C5* Infirmier anesthésiste</t>
  </si>
  <si>
    <t>C5* Infirmier en pédiatrie</t>
  </si>
  <si>
    <t>C5* Infirmier psychiatrique</t>
  </si>
  <si>
    <t>C5* Sage-femme</t>
  </si>
  <si>
    <t>C6 Assistant d’hygiène sociale</t>
  </si>
  <si>
    <t>C6 Assistant social</t>
  </si>
  <si>
    <t>C6 Diététicien</t>
  </si>
  <si>
    <t>C6 Éducateur gradué</t>
  </si>
  <si>
    <t>C6 Ergothérapeute</t>
  </si>
  <si>
    <t>C6 Infirmier hospitalier gradué</t>
  </si>
  <si>
    <t>C6 Kinésithérapeute</t>
  </si>
  <si>
    <t>C6 Laborantin</t>
  </si>
  <si>
    <t>C6 Orthophoniste</t>
  </si>
  <si>
    <t>C6 Pédagogue curatif</t>
  </si>
  <si>
    <t>C6 Psychomotricien</t>
  </si>
  <si>
    <t>C6 Professions administratives, logistiques et techniques avec Bachelor</t>
  </si>
  <si>
    <t>C6 Professions socio-éducatives avec Bachelor</t>
  </si>
  <si>
    <t>C6 Professions de santé avec Bachelor</t>
  </si>
  <si>
    <t>C7 Professions administratives, logistiques et techniques avec Master</t>
  </si>
  <si>
    <t>C7 Professions de santé avec Master</t>
  </si>
  <si>
    <t>C7 Professions socio-éducatives avec Master</t>
  </si>
  <si>
    <t>RTT service d'éducation et d'accueil petite enfance / enfants scolarisés</t>
  </si>
  <si>
    <t>SEA - personnel encadrement</t>
  </si>
  <si>
    <t>Jours</t>
  </si>
  <si>
    <t xml:space="preserve">Heures </t>
  </si>
  <si>
    <t>Heures*</t>
  </si>
  <si>
    <t>Solde</t>
  </si>
  <si>
    <t>Solde*</t>
  </si>
  <si>
    <t>Point de départ</t>
  </si>
  <si>
    <t>Déduction jours fériés d'usage</t>
  </si>
  <si>
    <t>Sous-total</t>
  </si>
  <si>
    <t>Déduction formation continue</t>
  </si>
  <si>
    <t>Déduction congé lié à l'âge (cf. EHL)</t>
  </si>
  <si>
    <t>Déduction congé social (cf. EHL)</t>
  </si>
  <si>
    <t>Déduction congé extraordinaire (cf. EHL)</t>
  </si>
  <si>
    <t>Déduction heures de préparation</t>
  </si>
  <si>
    <t>TOTAL</t>
  </si>
  <si>
    <t>*spécificité secteur communal</t>
  </si>
  <si>
    <t>Fonctions principales</t>
  </si>
  <si>
    <t>Fonct. com. - Agent municipal</t>
  </si>
  <si>
    <t>Fonct. com. - Agent de transport</t>
  </si>
  <si>
    <t>Fonct. com. - Artisan</t>
  </si>
  <si>
    <t>Fonct. com. - Attaché administratif</t>
  </si>
  <si>
    <t>Fonct. com. - Educateur</t>
  </si>
  <si>
    <t>Fonct. com. - Educateur gradué</t>
  </si>
  <si>
    <t>Fonct. com. - Expéditionnaire administratif</t>
  </si>
  <si>
    <t>Fonct. com. - Expéditionnaire technique</t>
  </si>
  <si>
    <t>Fonct. com. - Huissier</t>
  </si>
  <si>
    <t>Fonct. com. - Ingénieur</t>
  </si>
  <si>
    <t>Fonct. com. - Ingénieur technicien</t>
  </si>
  <si>
    <t>Fonct. com. - Receveur communal</t>
  </si>
  <si>
    <t>Fonct. com. - Rédacteur</t>
  </si>
  <si>
    <t>Fonct. com. - Secrétaire communal</t>
  </si>
  <si>
    <t>Fonct. com. - Secrétaire rédacteur</t>
  </si>
  <si>
    <t>Empl. com. - Carrière A</t>
  </si>
  <si>
    <t>Empl. com. - Carrière B</t>
  </si>
  <si>
    <t>Empl. com. - Carrière B1</t>
  </si>
  <si>
    <t>Empl. com. - Carrière C</t>
  </si>
  <si>
    <t>Empl. com. - Carrière D</t>
  </si>
  <si>
    <t>Empl. com. - Carrière S</t>
  </si>
  <si>
    <t>Empl. com. - Educateur</t>
  </si>
  <si>
    <t>Empl. com. - Educateur gradué</t>
  </si>
  <si>
    <t>Empl. com. - Educateur sanitaire</t>
  </si>
  <si>
    <t>Empl. com. - Assistant d'hygiène sociale</t>
  </si>
  <si>
    <t>Empl. com. - Agent sanitaire infirmier</t>
  </si>
  <si>
    <t>Empl. com. - Assistant social</t>
  </si>
  <si>
    <t>Empl. com. - Ergothérapeute</t>
  </si>
  <si>
    <t>Empl. com. - Orthoptiste</t>
  </si>
  <si>
    <t>Ouvrier - CATP</t>
  </si>
  <si>
    <t>Ouvrier - Non CATP</t>
  </si>
  <si>
    <t>Aide-éducateur</t>
  </si>
  <si>
    <t>Dropdown10</t>
  </si>
  <si>
    <t>Frais généraux</t>
  </si>
  <si>
    <t>Dropdown11</t>
  </si>
  <si>
    <t>Frais directement liés à l'activité - Encadrement</t>
  </si>
  <si>
    <t>Frais directement liés à l'activité - Logistique</t>
  </si>
  <si>
    <t>Frais indirectement liés à l'activité - Autres fonctions - Administration / Logistique</t>
  </si>
  <si>
    <t>Frais indirectement liés à l'activité - Autres fonctions - Chargé(e) de direction</t>
  </si>
  <si>
    <t>Frais indirectement liés à l'activité - Autres fonctions - Direction générale</t>
  </si>
  <si>
    <t xml:space="preserve">Frais indirectement liés à l'activité - Prévues par la loi </t>
  </si>
  <si>
    <t>Frais de Fonctionnement</t>
  </si>
  <si>
    <t>Frais de personnel CCT SAS</t>
  </si>
  <si>
    <t>Frais de personnel Commune</t>
  </si>
  <si>
    <t>Statut</t>
  </si>
  <si>
    <t>Heures de congé de maternité</t>
  </si>
  <si>
    <t>Autres Primes</t>
  </si>
  <si>
    <t>Allocations fonctions</t>
  </si>
  <si>
    <t>Fonctionnaire</t>
  </si>
  <si>
    <t>Employé</t>
  </si>
  <si>
    <t>Salarié</t>
  </si>
  <si>
    <t>Agent municipal</t>
  </si>
  <si>
    <t>Agent de transport</t>
  </si>
  <si>
    <t>Artisan</t>
  </si>
  <si>
    <t>Attaché administratif</t>
  </si>
  <si>
    <t>Educateur</t>
  </si>
  <si>
    <t>Educateur gradué</t>
  </si>
  <si>
    <t>Expéditionnaire administratif</t>
  </si>
  <si>
    <t>Expéditionnaire technique</t>
  </si>
  <si>
    <t>Huissier</t>
  </si>
  <si>
    <t>Ingénieur</t>
  </si>
  <si>
    <t>Receveur communal</t>
  </si>
  <si>
    <t>Rédacteur</t>
  </si>
  <si>
    <t>Secrétaire communal</t>
  </si>
  <si>
    <t>Secrétaire rédacteur</t>
  </si>
  <si>
    <t>Carrière A</t>
  </si>
  <si>
    <t>Carrière B</t>
  </si>
  <si>
    <t>Carrière B1</t>
  </si>
  <si>
    <t>Carrière C</t>
  </si>
  <si>
    <t>Carrière D</t>
  </si>
  <si>
    <t>Carrière S</t>
  </si>
  <si>
    <t>Assistant d'hygiène sociale</t>
  </si>
  <si>
    <t>Agent sanitaire infirmier</t>
  </si>
  <si>
    <t>Orthoptiste</t>
  </si>
  <si>
    <t>Primes convention financement</t>
  </si>
  <si>
    <t>Fonctions</t>
  </si>
  <si>
    <t>TOTAL FILTRE</t>
  </si>
  <si>
    <t>Dropdown12</t>
  </si>
  <si>
    <t>Renfort temporaire</t>
  </si>
  <si>
    <t>Recettes</t>
  </si>
  <si>
    <t>Dropdown13</t>
  </si>
  <si>
    <t>Contribution MENJE</t>
  </si>
  <si>
    <t>Contribution Usagers</t>
  </si>
  <si>
    <t>Contribution Commune</t>
  </si>
  <si>
    <t>Repas</t>
  </si>
  <si>
    <t>Nettoyage</t>
  </si>
  <si>
    <t>TABLEAU DE SYNTHESE</t>
  </si>
  <si>
    <r>
      <t xml:space="preserve">ORGANISME GESTIONNAIRE </t>
    </r>
    <r>
      <rPr>
        <sz val="8"/>
        <color theme="1"/>
        <rFont val="Calibri"/>
        <family val="2"/>
        <scheme val="minor"/>
      </rPr>
      <t>(</t>
    </r>
    <r>
      <rPr>
        <b/>
        <sz val="8"/>
        <color rgb="FFFF0000"/>
        <rFont val="Calibri"/>
        <family val="2"/>
        <scheme val="minor"/>
      </rPr>
      <t>Nom de la Commune si Commune est gestionnaire</t>
    </r>
    <r>
      <rPr>
        <sz val="8"/>
        <rFont val="Calibri"/>
        <family val="2"/>
        <scheme val="minor"/>
      </rPr>
      <t>)</t>
    </r>
  </si>
  <si>
    <t>ANALYSE TABLEAU DE DÉCOMPTE</t>
  </si>
  <si>
    <t>DONNEES GESTIONNAIRE</t>
  </si>
  <si>
    <t>Nom Structure</t>
  </si>
  <si>
    <t>Financement MENJE</t>
  </si>
  <si>
    <t>Nombre d'enfants inscrits au 30/11/  (&lt; 2 ans)</t>
  </si>
  <si>
    <t>Nombre d'enfants inscrits au 30/11/  (2-4 ans)</t>
  </si>
  <si>
    <t>Nombre d'enfants inscrits au 30/11/  (4-12 ans)</t>
  </si>
  <si>
    <t>Nombre d'enfants masculins au 30/11/16</t>
  </si>
  <si>
    <t>Nombre d'enfants féminins au 30/11/2016</t>
  </si>
  <si>
    <t>Grand prestataire</t>
  </si>
  <si>
    <t>Heures de présence des enfants budgétées</t>
  </si>
  <si>
    <t>Chargé(e) de direction</t>
  </si>
  <si>
    <t>qualification</t>
  </si>
  <si>
    <t>n° telephone</t>
  </si>
  <si>
    <t>adresse e-mail</t>
  </si>
  <si>
    <t>Chargé(e) de direction adjointe</t>
  </si>
  <si>
    <t>Contact Gestionnaire 1</t>
  </si>
  <si>
    <t>Contact Gestionnaire 2</t>
  </si>
  <si>
    <t>CSA PGI</t>
  </si>
  <si>
    <t>Heures d'encadrement budgétées</t>
  </si>
  <si>
    <t>Heures de présence facturées CSA</t>
  </si>
  <si>
    <t>Heures de présence réelles (FSP)</t>
  </si>
  <si>
    <t>Heures d'encadrement réelles (FSP)</t>
  </si>
  <si>
    <t>Inclusion</t>
  </si>
  <si>
    <t>Heures inclusion</t>
  </si>
  <si>
    <t>Heures EPL</t>
  </si>
  <si>
    <t>Delta</t>
  </si>
  <si>
    <t>Heures d'encadrement détail salaires SAS effectives selon RTT</t>
  </si>
  <si>
    <t>Heures d'encadrement détail salaires commune effectives selon RTT</t>
  </si>
  <si>
    <t>Heures d'encadrement détail salaires SAS effectives selon contrat</t>
  </si>
  <si>
    <t>Heures d'encadrement détail salaires Commune effectives selon contrat</t>
  </si>
  <si>
    <t>Heures de personnel globales de la structure selon contrat</t>
  </si>
  <si>
    <t>Total encadrement RTT</t>
  </si>
  <si>
    <t>Heures EBS</t>
  </si>
  <si>
    <t>Heures projets spécifiques</t>
  </si>
  <si>
    <t>Heures Renfort Temporaire</t>
  </si>
  <si>
    <t>FF projets spécifiques</t>
  </si>
  <si>
    <t>Répartition frais globaux avant recettes non attribuables et avant ajustements MENJE</t>
  </si>
  <si>
    <t>Frais de fonctionnement</t>
  </si>
  <si>
    <t>Frais de personnel SAS</t>
  </si>
  <si>
    <t>Frais totaux</t>
  </si>
  <si>
    <t>ENCADREMENT</t>
  </si>
  <si>
    <t>CALCUL DEPASSEMENT</t>
  </si>
  <si>
    <t>Maximum frais éligibles (autres fonctions)</t>
  </si>
  <si>
    <t>Frais de fonctionnement déclarés</t>
  </si>
  <si>
    <t>Frais de personnel à l'exception des frais de personnel "encadrement" et "EBS"</t>
  </si>
  <si>
    <t>Total frais déclarés</t>
  </si>
  <si>
    <t>Dépassement FF</t>
  </si>
  <si>
    <t>Dépassement Encadrement en heures</t>
  </si>
  <si>
    <t>Dépassement encadrement en €</t>
  </si>
  <si>
    <t>EPL</t>
  </si>
  <si>
    <t>Heures d'encadrement éligible</t>
  </si>
  <si>
    <t>Heures EBS éligible</t>
  </si>
  <si>
    <t>Heures renfort temporaire</t>
  </si>
  <si>
    <t>Total "projets spécifiques"</t>
  </si>
  <si>
    <t>Heures "projets spécifiques"  SAS effectives selon RTT</t>
  </si>
  <si>
    <t>Heures "projets spécifiques" commune effectives selon RTT</t>
  </si>
  <si>
    <t>Heures "projets spécifiques" effectives selon RTT</t>
  </si>
  <si>
    <t>Dépassement Projets spécifiques en heures</t>
  </si>
  <si>
    <t>Dépassement Projets spécifiques en €</t>
  </si>
  <si>
    <t>Total heures d'encadrement éiligible</t>
  </si>
  <si>
    <t>Maximum FF Projets spécifiques</t>
  </si>
  <si>
    <t>FF Projets spécifiques déclaré</t>
  </si>
  <si>
    <t>Dépassement FF Projets spécifiques</t>
  </si>
  <si>
    <t>Type Convention</t>
  </si>
  <si>
    <t>RECETTES</t>
  </si>
  <si>
    <t>Frais de gestion</t>
  </si>
  <si>
    <t>en hrs</t>
  </si>
  <si>
    <t>%</t>
  </si>
  <si>
    <t>Taux d'occuptation HPE réelles vs HPE budgétées (Delta)</t>
  </si>
  <si>
    <t>Total heures d'encadrement éligible</t>
  </si>
  <si>
    <t>Heures d'encadrement réalisées selon RTT</t>
  </si>
  <si>
    <t>Coûts personnel encadrement</t>
  </si>
  <si>
    <t>Coûts</t>
  </si>
  <si>
    <t>Dépassement</t>
  </si>
  <si>
    <t>Montant retenu</t>
  </si>
  <si>
    <t>Estimation des heures de présences enfants budgétées</t>
  </si>
  <si>
    <t>Heures de présences éligible</t>
  </si>
  <si>
    <t>Heures d'encadrement réelles (PGI)</t>
  </si>
  <si>
    <t>Total coûts autres fonctions</t>
  </si>
  <si>
    <t>Admin. Centrale</t>
  </si>
  <si>
    <t>Répartition du dépassement</t>
  </si>
  <si>
    <t>Solde total retenu</t>
  </si>
  <si>
    <t>en €</t>
  </si>
  <si>
    <t>Heures de présence facturées aux enfants éligibles à l'EP</t>
  </si>
  <si>
    <t>Heures gratuites EP</t>
  </si>
  <si>
    <t>Total EP à charge de l'Etat</t>
  </si>
  <si>
    <t>Vu et certifié exact le</t>
  </si>
  <si>
    <t>par</t>
  </si>
  <si>
    <t>Président / Bourgmestre / Directeur</t>
  </si>
  <si>
    <t>Signature</t>
  </si>
  <si>
    <t>Financement</t>
  </si>
  <si>
    <t>Montant dû final</t>
  </si>
  <si>
    <t>Avances reçues</t>
  </si>
  <si>
    <t>Total heures éligible "Projets spécifiques"</t>
  </si>
  <si>
    <t>Aide refugiés (BPI)</t>
  </si>
  <si>
    <t>Allocation forfaitaire à verser par le MENJE à la commune</t>
  </si>
  <si>
    <t>BPI</t>
  </si>
  <si>
    <t>Nbre BPI</t>
  </si>
  <si>
    <t>Total Encadrement</t>
  </si>
  <si>
    <t>Total Autres fonctions</t>
  </si>
  <si>
    <t>Dépassement total</t>
  </si>
  <si>
    <t>Total Frais</t>
  </si>
  <si>
    <t>Total Projets spécifiques (FP)</t>
  </si>
  <si>
    <t>Total Projets spécifiques (FF)</t>
  </si>
  <si>
    <t>Heures contrat</t>
  </si>
  <si>
    <t>Heures total</t>
  </si>
  <si>
    <t>Heures Absences</t>
  </si>
  <si>
    <t>Absences CCT SAS</t>
  </si>
  <si>
    <t>Autres absence COMMUNE</t>
  </si>
  <si>
    <t>Congé de maternité COMMUNE</t>
  </si>
  <si>
    <t>Capacité total</t>
  </si>
  <si>
    <t>Heures personnel</t>
  </si>
  <si>
    <t>Frais fonctionnement</t>
  </si>
  <si>
    <t>Frais de personnel</t>
  </si>
  <si>
    <t>Unités</t>
  </si>
  <si>
    <t>Nbre unités</t>
  </si>
  <si>
    <t>Recettes attribuables</t>
  </si>
  <si>
    <t>Heures contrat personnel SAS</t>
  </si>
  <si>
    <t>Heures contrat personnel Commune</t>
  </si>
  <si>
    <t>ETP - RECAP</t>
  </si>
  <si>
    <t>Convention:</t>
  </si>
  <si>
    <t xml:space="preserve">Suivant décompte : </t>
  </si>
  <si>
    <t>CCTSAS :</t>
  </si>
  <si>
    <t>COMMUNE :</t>
  </si>
  <si>
    <t>Type de convention</t>
  </si>
  <si>
    <t>Heures ETP</t>
  </si>
  <si>
    <t>Nombre ETP</t>
  </si>
  <si>
    <t>Nombre empl.</t>
  </si>
  <si>
    <t>ETP GLOBAUX</t>
  </si>
  <si>
    <t xml:space="preserve">Total : </t>
  </si>
  <si>
    <t>Filtre :</t>
  </si>
  <si>
    <t>ETP ENCADREMENT</t>
  </si>
  <si>
    <t>Qualifié / Non qualifié</t>
  </si>
  <si>
    <t>CCTSAS</t>
  </si>
  <si>
    <t>moyenne Ancienneté</t>
  </si>
  <si>
    <t>Heures ETP Encadrement</t>
  </si>
  <si>
    <t>% Encadrement</t>
  </si>
  <si>
    <t>Nombre ETP Encadrement</t>
  </si>
  <si>
    <t>Éducateur</t>
  </si>
  <si>
    <t>Éducateur sanitaire</t>
  </si>
  <si>
    <t>Aide-educateur</t>
  </si>
  <si>
    <t>Aide éducateur</t>
  </si>
  <si>
    <t>Redressement</t>
  </si>
  <si>
    <t xml:space="preserve">Redressement dépassement encadrement </t>
  </si>
  <si>
    <t>Redressement dépassement autres fonctions</t>
  </si>
  <si>
    <t>Dépassement initial</t>
  </si>
  <si>
    <t>Dépassement restant</t>
  </si>
  <si>
    <t>Redressement dépassement "projet spécifiques" (hrs)</t>
  </si>
  <si>
    <t>Redressement dépassement "projet spécifiques" FF</t>
  </si>
  <si>
    <t>Calcul Redressement</t>
  </si>
  <si>
    <t>HPE réelles /Hrs encadrement réelles (ratio)</t>
  </si>
  <si>
    <t>HPE réelles / 0,75</t>
  </si>
  <si>
    <t>nouveau plafond éligible</t>
  </si>
  <si>
    <t>hrs RTT déclarées</t>
  </si>
  <si>
    <t>à redresser</t>
  </si>
  <si>
    <t>Nouveau Plafond FF</t>
  </si>
  <si>
    <t>Frais déclarés</t>
  </si>
  <si>
    <t>Répartition du redressement</t>
  </si>
  <si>
    <t>Ajustement Recettes</t>
  </si>
  <si>
    <t>Dropdown82</t>
  </si>
  <si>
    <t>Nom Gestionnaire</t>
  </si>
  <si>
    <t>Réviseur externe</t>
  </si>
  <si>
    <t>Total heures d'absences</t>
  </si>
  <si>
    <t>Autres fonctions max. éligible</t>
  </si>
  <si>
    <t>COVID-Encadrement</t>
  </si>
  <si>
    <t>COVID-Frais de gestion - Bâtiment</t>
  </si>
  <si>
    <t>COVID-Frais de gestion - Bureau</t>
  </si>
  <si>
    <t>COVID-Frais de gestion - Autres</t>
  </si>
  <si>
    <t>COVID-Frais de gestion - Pharmacie - soins</t>
  </si>
  <si>
    <t>COVID-Admin. centrale - Chargé(e) de direction</t>
  </si>
  <si>
    <t>COVID-Admin. centrale - Compta - Révision</t>
  </si>
  <si>
    <t>COVID-Admin. centrale - Salaires</t>
  </si>
  <si>
    <t>COVID-Admin. centrale - RH</t>
  </si>
  <si>
    <t>COVID-Admin. centrale - IT management</t>
  </si>
  <si>
    <t>COVID-Admin. centrale - Direction</t>
  </si>
  <si>
    <t>COVID-Admin. centrale - Supervision</t>
  </si>
  <si>
    <t>COVID-Admin. centrale - Formation</t>
  </si>
  <si>
    <t>COVID-Repas - Interne</t>
  </si>
  <si>
    <t>COVID-Nettoyage - Interne</t>
  </si>
  <si>
    <t>COVID-Transport</t>
  </si>
  <si>
    <t>COVID-Repas - Externe</t>
  </si>
  <si>
    <t>COVID-Nettoyage - Externe</t>
  </si>
  <si>
    <t>TABLEAU DE SYNTHESE DES FRAIS SUPPLEMENTAIRE EN RELATION AVEC LA PANDEMIE COVID-19</t>
  </si>
  <si>
    <t>Participation Etat</t>
  </si>
  <si>
    <t>Taux de participation de l'Etat</t>
  </si>
  <si>
    <t>Participation Commune</t>
  </si>
  <si>
    <t>Fonction FF</t>
  </si>
  <si>
    <t>Fonction FP</t>
  </si>
  <si>
    <t>Total coûts autres fonctions (FF)</t>
  </si>
  <si>
    <t>Coûts personnel (heures prestées entre 8:00 et 13:00)</t>
  </si>
  <si>
    <t>Coûts personnel (heures en surplus du contrat en journée à partir de 13:00)</t>
  </si>
  <si>
    <t>Taux estimatif du remboursement CRF dans le remboursement mutualité</t>
  </si>
  <si>
    <t>heures annuelles
selon contrat(s)</t>
  </si>
  <si>
    <t>Dont frais liés à la pandémie COVID-19 
(hors calcul du dépassement)</t>
  </si>
  <si>
    <t>Méthode de détermination</t>
  </si>
  <si>
    <t>Taux du remboursement mutualité</t>
  </si>
  <si>
    <t>Estimation de la part CRF</t>
  </si>
  <si>
    <t>Congé pour raisons familiales (COVID)</t>
  </si>
  <si>
    <t>Nom SEA</t>
  </si>
  <si>
    <t>EUR TTC</t>
  </si>
  <si>
    <t>Années
(Ancienneté)</t>
  </si>
  <si>
    <t>RELEVE RENFORT TEMPORAIRE</t>
  </si>
  <si>
    <t>au ...</t>
  </si>
  <si>
    <t>Autres heures d'absences motivées</t>
  </si>
  <si>
    <t>Remboursement Mutualité 
(SALARIÉ(E)S)</t>
  </si>
  <si>
    <t>Projets spécifiques &amp; Renfort Temporaire</t>
  </si>
  <si>
    <t>COVID-Projets spécifiques &amp; Renfort Temporaire</t>
  </si>
  <si>
    <t>Bourgmestre</t>
  </si>
  <si>
    <t>Président</t>
  </si>
  <si>
    <t>Présidente</t>
  </si>
  <si>
    <t>Directeur</t>
  </si>
  <si>
    <t>Directrice</t>
  </si>
  <si>
    <t>Directrice générale</t>
  </si>
  <si>
    <t>CHARGÉ(E) DE DIRECTION</t>
  </si>
  <si>
    <t>CHARGÉ(E) DE DIRECTION ADJOINT(E)</t>
  </si>
  <si>
    <t>Frais de personnel supplémentaire COVID-19</t>
  </si>
  <si>
    <t>Date Début Convention</t>
  </si>
  <si>
    <t>Date Fin Convention</t>
  </si>
  <si>
    <t>AVENANT CRISE UKRAINIENNE</t>
  </si>
  <si>
    <t xml:space="preserve">Personnel supplémentaire Crise Ukrainienne </t>
  </si>
  <si>
    <t>Remboursement Formateur accrédité par SNJ</t>
  </si>
  <si>
    <t xml:space="preserve">Frais Personnel supplémentaire Crise Ukrainienne </t>
  </si>
  <si>
    <t>Dispositions légales - DPO</t>
  </si>
  <si>
    <t>Dispositions légales - travailleur désigné</t>
  </si>
  <si>
    <t>Dispositions légales - délégation du personnel</t>
  </si>
  <si>
    <t>Frais de personnel supplémentaire Crise Ukrainienne</t>
  </si>
  <si>
    <t>Formation Remboursement SNJ</t>
  </si>
  <si>
    <t>Formation hors catalogue</t>
  </si>
  <si>
    <t>Nom de la formation</t>
  </si>
  <si>
    <t>Heures</t>
  </si>
  <si>
    <t>Personne concerné</t>
  </si>
  <si>
    <t>coûts</t>
  </si>
  <si>
    <t>Formation -  Hors catalogue</t>
  </si>
  <si>
    <t>Formation -Personnel Overhead</t>
  </si>
  <si>
    <t>Institut de Formation / Formateur</t>
  </si>
  <si>
    <t>FORMATIONS</t>
  </si>
  <si>
    <t>Référence Formation</t>
  </si>
  <si>
    <t>Allocation Fonction</t>
  </si>
  <si>
    <t>Référence Grand-Livre</t>
  </si>
  <si>
    <t>Formation "Overhead"</t>
  </si>
  <si>
    <t>Formation Continue</t>
  </si>
  <si>
    <t>Row Labels</t>
  </si>
  <si>
    <t>Grand Total</t>
  </si>
  <si>
    <t>Sum of Montant</t>
  </si>
  <si>
    <t>Formation</t>
  </si>
  <si>
    <t>(Multiple Items)</t>
  </si>
  <si>
    <t>Column Labels</t>
  </si>
  <si>
    <t>Convention PEP</t>
  </si>
  <si>
    <t>PLAN D'ENCADREMENT PÉRISCOLAIRE (PEP)</t>
  </si>
  <si>
    <t>Heures prestées par le personnel du SEA pendant l'horaire scolaire régulier</t>
  </si>
  <si>
    <t>Heures prestées par le personnel de l'école pendant les heures de l'horaire
des offres d’éducation non-formelle en-dehors de l’horaire scolaire</t>
  </si>
  <si>
    <t>Différence</t>
  </si>
  <si>
    <t>Crise ukrainienne</t>
  </si>
  <si>
    <t>Frais Personnel supplémentaire Crise Ukrainienne COMMUNE</t>
  </si>
  <si>
    <t>Frais de personnel supplémentaire COVID-19 COMMUNE</t>
  </si>
  <si>
    <t>Frais Personnel supplémentaire Crise Ukrainienne CCT SAS</t>
  </si>
  <si>
    <t>Frais de personnel supplémentaire COVID-19 CCT SAS</t>
  </si>
  <si>
    <t>Nbre d'agrément</t>
  </si>
  <si>
    <t>Contribution MENJE - UKRAINE</t>
  </si>
  <si>
    <t>COVID &amp; Ukraine</t>
  </si>
  <si>
    <t>Heures de présences Unité UKR</t>
  </si>
  <si>
    <t>Total Frais de personnel UKR</t>
  </si>
  <si>
    <t>Frais de fonctionnement Crise Ukrainienne</t>
  </si>
  <si>
    <t>Avances UKR</t>
  </si>
  <si>
    <t>Solde UKR</t>
  </si>
  <si>
    <t>DETAILS DES FRAIS DE PERSONNEL D'ENCADREMENT SUPPLEMENTAIRE  COVID (hors calcul dépassement)</t>
  </si>
  <si>
    <t>Heures prestées par le personnel d'encadrement du SEA pendant l'horaire scolaire régulier</t>
  </si>
  <si>
    <t>Formation continue</t>
  </si>
  <si>
    <t>Disposition légales</t>
  </si>
  <si>
    <t>DETAILS DES FRAIS SUPPLEMENTAIRE CRISE UKRAINIENNE (Avenant UKRAINE 100% Etat)</t>
  </si>
  <si>
    <t>Détails des heures supplémentaire</t>
  </si>
  <si>
    <t>Heures Personnel supplémentaire Crise Ukrainienne CCT SAS</t>
  </si>
  <si>
    <t>Heures de personnel supplémentaire COVID-19 CCT SAS</t>
  </si>
  <si>
    <t>Heures Personnel supplémentaire Crise Ukrainienne COMMUNE</t>
  </si>
  <si>
    <t>Heures de personnel supplémentaire COVID-19 COMMUNE</t>
  </si>
  <si>
    <t>AVENANTS</t>
  </si>
  <si>
    <t>Crise Ukrainienne</t>
  </si>
  <si>
    <t>Heures supplémentaires COVID-19</t>
  </si>
  <si>
    <t>Groupe</t>
  </si>
  <si>
    <t>taux</t>
  </si>
  <si>
    <t>Gr.1</t>
  </si>
  <si>
    <t>Gr.2</t>
  </si>
  <si>
    <t>Gr.3</t>
  </si>
  <si>
    <t>HEB</t>
  </si>
  <si>
    <t>Heures covid accordé</t>
  </si>
  <si>
    <t>Heures covid presté</t>
  </si>
  <si>
    <t>Dépassemet COVID en hrs</t>
  </si>
  <si>
    <t>Dépassemet COVID en €</t>
  </si>
  <si>
    <t>Dimanches et samedis</t>
  </si>
  <si>
    <t>Déduction jours fériés</t>
  </si>
  <si>
    <t>Déduction congé annuel de récréation</t>
  </si>
  <si>
    <t>Réduction de la flexibilité</t>
  </si>
  <si>
    <t>Dépassement de la durée de travail semi-nette annuelle</t>
  </si>
  <si>
    <t>Abolition de la limitation de la majoration aux seules 4 premières heures de travail</t>
  </si>
  <si>
    <t>Fluctuation journalière</t>
  </si>
  <si>
    <t>34(32*)</t>
  </si>
  <si>
    <t>Déduction congé de maladie (5%)*</t>
  </si>
  <si>
    <t xml:space="preserve">Dont heures de contrat personnel supplémentaire Crise Ukrainienne </t>
  </si>
  <si>
    <t>Dont heures de personnel supplémentaire COVID-19
(cf. Convention - Annexe 2)</t>
  </si>
  <si>
    <t>Heures PEP (compris dans les heures contrats)</t>
  </si>
  <si>
    <t>SOLDE TOTAL RETENU</t>
  </si>
  <si>
    <r>
      <t xml:space="preserve">heures contrat </t>
    </r>
    <r>
      <rPr>
        <b/>
        <sz val="9"/>
        <color theme="1"/>
        <rFont val="Calibri"/>
        <family val="2"/>
        <scheme val="minor"/>
      </rPr>
      <t>(heures RTT voir Tableau Final)</t>
    </r>
  </si>
  <si>
    <t>SOLDE TOTAL</t>
  </si>
  <si>
    <t>DAP</t>
  </si>
  <si>
    <t>Étudiant</t>
  </si>
  <si>
    <t>(hors calcul dépassement)</t>
  </si>
  <si>
    <t>Heures de présence budgétées</t>
  </si>
  <si>
    <t>Total heures d'encadrement éligibles</t>
  </si>
  <si>
    <t>heures d'encadrement supplémentaires requises au titre de l'EP</t>
  </si>
  <si>
    <t>Total heures éligible "Projets spécifiques" et "Renfort temporaire"</t>
  </si>
  <si>
    <t>Repas préparés pour d'autres structures</t>
  </si>
  <si>
    <t>Prix unitaire par repas facturé</t>
  </si>
  <si>
    <t>Heures prestées par le personnel de l'école pendant les heures de l'horaire
des offres d’éducation non-formelle en dehors de l’horaire scolaire</t>
  </si>
  <si>
    <t>heures facturées éligibles PL (PGI)</t>
  </si>
  <si>
    <t>dont heures gratuites (PGI)</t>
  </si>
  <si>
    <t>Prix unitaire par repas si prestataire externe</t>
  </si>
  <si>
    <t>Heures de présence réelles (PGI)</t>
  </si>
  <si>
    <t>Taux de variation HPE réelles vs HPE budgétées (Delta)</t>
  </si>
  <si>
    <t>Directeur général</t>
  </si>
  <si>
    <t>HPE réelles 2024</t>
  </si>
  <si>
    <t>Étudiant (Travail de vacances)</t>
  </si>
  <si>
    <t>Stagiaire - Formation professionnelle - DAP inclusion</t>
  </si>
  <si>
    <t>Stagiaire - Formation professionnelle - DAP éducation</t>
  </si>
  <si>
    <t>Stagiaire - Formation professionnelle - CCP</t>
  </si>
  <si>
    <t>Stagiaire - Enseignement supérieur</t>
  </si>
  <si>
    <t xml:space="preserve">valable du </t>
  </si>
  <si>
    <t>engagé(e) en 2024 du ...</t>
  </si>
  <si>
    <t>Les étudiants travaillant pendant les vacances scolaires</t>
  </si>
  <si>
    <t>Étudiants indemnisés pour stages de 4 semaines et plus</t>
  </si>
  <si>
    <t>Pour les élèves en formation pour le Certificat de Capacité Professionnelle (CCP)</t>
  </si>
  <si>
    <t>Pour les élèves en formation pour le Diplôme d’Aptitude Professionnelle éducation</t>
  </si>
  <si>
    <t>Pour les élèves en formation pour le Diplôme d’Aptitude Professionnelle inclusion</t>
  </si>
  <si>
    <t>Étudiants &amp; Stagiaires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</si>
</sst>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quot;€&quot;* #,##0.00_);_(&quot;€&quot;* \(#,##0.00\);_(&quot;€&quot;* &quot;-&quot;??_);_(@_)"/>
    <numFmt numFmtId="165" formatCode="_(* #,##0.00_);_(* \(#,##0.00\);_(* &quot;-&quot;??_);_(@_)"/>
    <numFmt numFmtId="166" formatCode="0.0%"/>
    <numFmt numFmtId="167" formatCode="[$-F800]dddd\,\ mmmm\ dd\,\ yyyy"/>
    <numFmt numFmtId="168" formatCode="#,##0.00\ &quot;€&quot;"/>
    <numFmt numFmtId="169" formatCode="#,##0.00_ ;\-#,##0.00\ "/>
    <numFmt numFmtId="170" formatCode="_-* #,##0.00\ _€_-;\-* #,##0.00\ _€_-;_-* &quot;-&quot;??\ _€_-;_-@_-"/>
    <numFmt numFmtId="171" formatCode="dd/mm/yyyy"/>
  </numFmts>
  <fonts count="3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8"/>
      <color theme="1"/>
      <name val="Calibri"/>
      <family val="2"/>
      <scheme val="minor"/>
    </font>
    <font>
      <sz val="9"/>
      <color indexed="81"/>
      <name val="Tahoma"/>
      <family val="2"/>
    </font>
    <font>
      <b/>
      <sz val="9"/>
      <color indexed="81"/>
      <name val="Tahoma"/>
      <family val="2"/>
    </font>
    <font>
      <sz val="9"/>
      <color theme="1"/>
      <name val="Calibri"/>
      <family val="2"/>
      <scheme val="minor"/>
    </font>
    <font>
      <i/>
      <u/>
      <sz val="12"/>
      <color theme="1"/>
      <name val="Calibri"/>
      <family val="2"/>
      <scheme val="minor"/>
    </font>
    <font>
      <sz val="12"/>
      <color theme="1"/>
      <name val="Calibri"/>
      <family val="2"/>
      <scheme val="minor"/>
    </font>
    <font>
      <u/>
      <sz val="12"/>
      <color theme="1"/>
      <name val="Calibri"/>
      <family val="2"/>
      <scheme val="minor"/>
    </font>
    <font>
      <b/>
      <sz val="12"/>
      <name val="Calibri"/>
      <family val="2"/>
      <scheme val="minor"/>
    </font>
    <font>
      <sz val="12"/>
      <name val="Calibri"/>
      <family val="2"/>
      <scheme val="minor"/>
    </font>
    <font>
      <u/>
      <sz val="11"/>
      <color theme="10"/>
      <name val="Calibri"/>
      <family val="2"/>
      <scheme val="minor"/>
    </font>
    <font>
      <i/>
      <sz val="12"/>
      <name val="Calibri"/>
      <family val="2"/>
      <scheme val="minor"/>
    </font>
    <font>
      <b/>
      <i/>
      <sz val="12"/>
      <name val="Calibri"/>
      <family val="2"/>
      <scheme val="minor"/>
    </font>
    <font>
      <b/>
      <sz val="11"/>
      <color rgb="FFFF0000"/>
      <name val="Calibri"/>
      <family val="2"/>
      <scheme val="minor"/>
    </font>
    <font>
      <b/>
      <sz val="12"/>
      <color rgb="FFFF0000"/>
      <name val="Calibri"/>
      <family val="2"/>
      <scheme val="minor"/>
    </font>
    <font>
      <sz val="8"/>
      <name val="Calibri"/>
      <family val="2"/>
      <scheme val="minor"/>
    </font>
    <font>
      <b/>
      <sz val="8"/>
      <color rgb="FFFF0000"/>
      <name val="Calibri"/>
      <family val="2"/>
      <scheme val="minor"/>
    </font>
    <font>
      <sz val="10"/>
      <name val="Arial"/>
      <family val="2"/>
      <charset val="1"/>
    </font>
    <font>
      <b/>
      <i/>
      <sz val="11"/>
      <color theme="1"/>
      <name val="Calibri"/>
      <family val="2"/>
      <scheme val="minor"/>
    </font>
    <font>
      <b/>
      <sz val="12"/>
      <color theme="1"/>
      <name val="Calibri"/>
      <family val="2"/>
      <scheme val="minor"/>
    </font>
    <font>
      <b/>
      <sz val="22"/>
      <color theme="1"/>
      <name val="Calibri"/>
      <family val="2"/>
      <scheme val="minor"/>
    </font>
    <font>
      <i/>
      <sz val="10"/>
      <color theme="1"/>
      <name val="Calibri"/>
      <family val="2"/>
      <scheme val="minor"/>
    </font>
    <font>
      <sz val="10"/>
      <color theme="1"/>
      <name val="Calibri"/>
      <family val="2"/>
      <scheme val="minor"/>
    </font>
    <font>
      <b/>
      <u/>
      <sz val="11"/>
      <color theme="10"/>
      <name val="Calibri"/>
      <family val="2"/>
      <scheme val="minor"/>
    </font>
    <font>
      <b/>
      <i/>
      <sz val="10"/>
      <color theme="1"/>
      <name val="Calibri"/>
      <family val="2"/>
      <scheme val="minor"/>
    </font>
    <font>
      <sz val="11"/>
      <color theme="0"/>
      <name val="Calibri"/>
      <family val="2"/>
      <scheme val="minor"/>
    </font>
    <font>
      <sz val="11"/>
      <name val="Calibri"/>
      <family val="2"/>
      <scheme val="minor"/>
    </font>
    <font>
      <b/>
      <sz val="14"/>
      <color theme="1"/>
      <name val="Calibri"/>
      <family val="2"/>
      <scheme val="minor"/>
    </font>
    <font>
      <u/>
      <sz val="11"/>
      <color theme="1"/>
      <name val="Calibri"/>
      <family val="2"/>
      <scheme val="minor"/>
    </font>
    <font>
      <b/>
      <sz val="9"/>
      <color theme="1"/>
      <name val="Calibri"/>
      <family val="2"/>
      <scheme val="minor"/>
    </font>
    <font>
      <i/>
      <sz val="12"/>
      <color theme="1"/>
      <name val="Calibri"/>
      <family val="2"/>
      <scheme val="minor"/>
    </font>
    <font>
      <b/>
      <i/>
      <sz val="12"/>
      <color theme="1"/>
      <name val="Calibri"/>
      <family val="2"/>
      <scheme val="minor"/>
    </font>
    <font>
      <sz val="14"/>
      <color theme="1"/>
      <name val="Calibri"/>
      <family val="2"/>
      <scheme val="minor"/>
    </font>
    <font>
      <b/>
      <u/>
      <sz val="12"/>
      <color theme="1"/>
      <name val="Calibri"/>
      <family val="2"/>
      <scheme val="minor"/>
    </font>
    <font>
      <b/>
      <sz val="20"/>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1"/>
        <bgColor indexed="64"/>
      </patternFill>
    </fill>
  </fills>
  <borders count="113">
    <border>
      <left/>
      <right/>
      <top/>
      <bottom/>
      <diagonal/>
    </border>
    <border>
      <left/>
      <right/>
      <top/>
      <bottom style="thin">
        <color indexed="64"/>
      </bottom>
      <diagonal/>
    </border>
    <border>
      <left/>
      <right/>
      <top style="hair">
        <color auto="1"/>
      </top>
      <bottom style="hair">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dashed">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right style="thin">
        <color theme="4" tint="0.39997558519241921"/>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4" tint="0.399975585192419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auto="1"/>
      </top>
      <bottom style="dashed">
        <color auto="1"/>
      </bottom>
      <diagonal/>
    </border>
    <border>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dashed">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dashed">
        <color indexed="64"/>
      </right>
      <top/>
      <bottom/>
      <diagonal/>
    </border>
    <border>
      <left/>
      <right style="dashed">
        <color indexed="64"/>
      </right>
      <top style="medium">
        <color indexed="64"/>
      </top>
      <bottom/>
      <diagonal/>
    </border>
    <border>
      <left/>
      <right style="dashed">
        <color indexed="64"/>
      </right>
      <top style="medium">
        <color indexed="64"/>
      </top>
      <bottom style="dashed">
        <color indexed="64"/>
      </bottom>
      <diagonal/>
    </border>
    <border>
      <left/>
      <right style="dashed">
        <color indexed="64"/>
      </right>
      <top style="dashed">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20" fillId="0" borderId="0"/>
  </cellStyleXfs>
  <cellXfs count="760">
    <xf numFmtId="0" fontId="0" fillId="0" borderId="0" xfId="0"/>
    <xf numFmtId="9" fontId="0" fillId="0" borderId="0" xfId="0" applyNumberFormat="1"/>
    <xf numFmtId="0" fontId="0" fillId="2" borderId="0" xfId="0" applyFill="1" applyProtection="1">
      <protection hidden="1"/>
    </xf>
    <xf numFmtId="0" fontId="0" fillId="2" borderId="0" xfId="0" applyFill="1" applyBorder="1" applyProtection="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0" fillId="0" borderId="0" xfId="0" applyFill="1" applyAlignment="1" applyProtection="1">
      <alignment horizontal="center" vertical="center" wrapText="1"/>
      <protection hidden="1"/>
    </xf>
    <xf numFmtId="0" fontId="0" fillId="0" borderId="0" xfId="0" applyFill="1" applyProtection="1">
      <protection hidden="1"/>
    </xf>
    <xf numFmtId="0" fontId="0" fillId="0" borderId="0" xfId="0" applyFill="1" applyProtection="1">
      <protection locked="0"/>
    </xf>
    <xf numFmtId="165" fontId="0" fillId="0" borderId="0" xfId="1" applyFont="1" applyFill="1" applyProtection="1">
      <protection locked="0"/>
    </xf>
    <xf numFmtId="14" fontId="0" fillId="0" borderId="0" xfId="0" applyNumberFormat="1" applyFill="1" applyProtection="1">
      <protection locked="0"/>
    </xf>
    <xf numFmtId="0" fontId="2" fillId="2" borderId="0" xfId="0" applyFont="1" applyFill="1" applyProtection="1">
      <protection hidden="1"/>
    </xf>
    <xf numFmtId="0" fontId="0" fillId="2" borderId="0" xfId="0" applyFont="1" applyFill="1" applyProtection="1">
      <protection hidden="1"/>
    </xf>
    <xf numFmtId="0" fontId="2" fillId="5" borderId="0" xfId="0" applyFont="1" applyFill="1" applyProtection="1">
      <protection hidden="1"/>
    </xf>
    <xf numFmtId="9" fontId="2" fillId="2" borderId="0" xfId="0" applyNumberFormat="1" applyFont="1" applyFill="1" applyProtection="1">
      <protection hidden="1"/>
    </xf>
    <xf numFmtId="165" fontId="0" fillId="0" borderId="0" xfId="0" applyNumberFormat="1" applyFill="1" applyProtection="1">
      <protection locked="0"/>
    </xf>
    <xf numFmtId="165" fontId="0" fillId="4" borderId="0" xfId="0" applyNumberFormat="1" applyFill="1" applyProtection="1">
      <protection hidden="1"/>
    </xf>
    <xf numFmtId="0" fontId="0" fillId="0" borderId="0" xfId="0" applyFill="1" applyAlignment="1" applyProtection="1">
      <alignment horizontal="center"/>
      <protection locked="0"/>
    </xf>
    <xf numFmtId="0" fontId="2" fillId="0" borderId="0" xfId="0" applyFont="1" applyFill="1" applyProtection="1">
      <protection locked="0"/>
    </xf>
    <xf numFmtId="0" fontId="2" fillId="2" borderId="0" xfId="0" applyFont="1" applyFill="1" applyAlignment="1" applyProtection="1">
      <alignment horizontal="left"/>
      <protection hidden="1"/>
    </xf>
    <xf numFmtId="1" fontId="0" fillId="0" borderId="0" xfId="0" applyNumberFormat="1" applyFill="1" applyProtection="1">
      <protection locked="0"/>
    </xf>
    <xf numFmtId="0" fontId="0" fillId="2" borderId="0" xfId="0" applyFill="1" applyAlignment="1" applyProtection="1">
      <alignment horizontal="center"/>
      <protection hidden="1"/>
    </xf>
    <xf numFmtId="0" fontId="0" fillId="2" borderId="0" xfId="0" applyFill="1" applyAlignment="1" applyProtection="1">
      <alignment vertical="top"/>
      <protection hidden="1"/>
    </xf>
    <xf numFmtId="0" fontId="0" fillId="0" borderId="0" xfId="0" applyFill="1"/>
    <xf numFmtId="0" fontId="0" fillId="2" borderId="0" xfId="0" applyFill="1"/>
    <xf numFmtId="0" fontId="2" fillId="2" borderId="0" xfId="0" applyFont="1" applyFill="1"/>
    <xf numFmtId="165" fontId="0" fillId="0" borderId="0" xfId="0" applyNumberFormat="1" applyFont="1" applyFill="1" applyProtection="1">
      <protection hidden="1"/>
    </xf>
    <xf numFmtId="0" fontId="0" fillId="5" borderId="10" xfId="0" applyFill="1" applyBorder="1" applyProtection="1">
      <protection locked="0"/>
    </xf>
    <xf numFmtId="0" fontId="0" fillId="0" borderId="0" xfId="0" applyFill="1" applyAlignment="1" applyProtection="1">
      <alignment horizontal="center"/>
      <protection hidden="1"/>
    </xf>
    <xf numFmtId="14" fontId="0" fillId="0" borderId="0" xfId="0" applyNumberFormat="1" applyFill="1" applyAlignment="1" applyProtection="1">
      <alignment horizontal="center"/>
      <protection locked="0"/>
    </xf>
    <xf numFmtId="164" fontId="0" fillId="0" borderId="0" xfId="0" applyNumberFormat="1"/>
    <xf numFmtId="0" fontId="2" fillId="7" borderId="12" xfId="0" applyFont="1" applyFill="1" applyBorder="1" applyProtection="1">
      <protection hidden="1"/>
    </xf>
    <xf numFmtId="0" fontId="0" fillId="7" borderId="4" xfId="0" applyFill="1" applyBorder="1" applyProtection="1">
      <protection hidden="1"/>
    </xf>
    <xf numFmtId="0" fontId="0" fillId="7" borderId="10" xfId="0" applyFill="1" applyBorder="1" applyProtection="1">
      <protection hidden="1"/>
    </xf>
    <xf numFmtId="0" fontId="0" fillId="6" borderId="7" xfId="0" applyFill="1" applyBorder="1" applyAlignment="1" applyProtection="1">
      <alignment vertical="center"/>
      <protection hidden="1"/>
    </xf>
    <xf numFmtId="0" fontId="0" fillId="0" borderId="0" xfId="0" applyFill="1" applyAlignment="1" applyProtection="1">
      <alignment horizontal="center" vertical="center"/>
      <protection hidden="1"/>
    </xf>
    <xf numFmtId="0" fontId="0" fillId="2" borderId="0" xfId="0" applyFill="1" applyAlignment="1" applyProtection="1">
      <alignment horizontal="center" vertical="center"/>
      <protection hidden="1"/>
    </xf>
    <xf numFmtId="164" fontId="0" fillId="0" borderId="0" xfId="3" applyFont="1" applyFill="1" applyProtection="1">
      <protection locked="0"/>
    </xf>
    <xf numFmtId="0" fontId="0" fillId="4" borderId="0" xfId="0" applyFill="1" applyBorder="1" applyProtection="1">
      <protection hidden="1"/>
    </xf>
    <xf numFmtId="0" fontId="0" fillId="0" borderId="0" xfId="0" applyNumberFormat="1" applyFill="1" applyProtection="1">
      <protection locked="0"/>
    </xf>
    <xf numFmtId="165" fontId="0" fillId="4" borderId="0" xfId="0" applyNumberFormat="1" applyFill="1" applyBorder="1" applyProtection="1">
      <protection hidden="1"/>
    </xf>
    <xf numFmtId="165" fontId="0" fillId="3" borderId="7" xfId="1" applyFont="1" applyFill="1" applyBorder="1" applyProtection="1">
      <protection hidden="1"/>
    </xf>
    <xf numFmtId="0" fontId="0" fillId="8" borderId="19" xfId="0"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0" fontId="0" fillId="5" borderId="7" xfId="0" applyFill="1" applyBorder="1" applyAlignment="1" applyProtection="1">
      <alignment wrapText="1"/>
      <protection hidden="1"/>
    </xf>
    <xf numFmtId="0" fontId="2" fillId="2" borderId="0" xfId="0" applyFont="1" applyFill="1" applyBorder="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5" xfId="0" applyFill="1" applyBorder="1" applyProtection="1">
      <protection hidden="1"/>
    </xf>
    <xf numFmtId="164" fontId="0" fillId="0" borderId="0" xfId="3" applyFont="1"/>
    <xf numFmtId="0" fontId="0" fillId="0" borderId="22" xfId="0" applyFont="1" applyFill="1" applyBorder="1"/>
    <xf numFmtId="164" fontId="0" fillId="0" borderId="0" xfId="3" applyFont="1" applyBorder="1"/>
    <xf numFmtId="164" fontId="0" fillId="0" borderId="24" xfId="3" applyFont="1" applyBorder="1"/>
    <xf numFmtId="164" fontId="0" fillId="0" borderId="16" xfId="3" applyFont="1" applyBorder="1"/>
    <xf numFmtId="164" fontId="0" fillId="0" borderId="26" xfId="3" applyFont="1" applyBorder="1"/>
    <xf numFmtId="0" fontId="0" fillId="0" borderId="24" xfId="0" applyFont="1" applyFill="1" applyBorder="1"/>
    <xf numFmtId="0" fontId="0" fillId="0" borderId="0" xfId="0" applyBorder="1"/>
    <xf numFmtId="0" fontId="0" fillId="0" borderId="27" xfId="0" applyFont="1" applyFill="1" applyBorder="1"/>
    <xf numFmtId="0" fontId="0" fillId="0" borderId="29" xfId="0" applyBorder="1"/>
    <xf numFmtId="164" fontId="0" fillId="0" borderId="29" xfId="3" applyFont="1" applyBorder="1"/>
    <xf numFmtId="164" fontId="0" fillId="0" borderId="30" xfId="3" applyFont="1" applyBorder="1"/>
    <xf numFmtId="0" fontId="0" fillId="0" borderId="16" xfId="0" applyBorder="1"/>
    <xf numFmtId="0" fontId="0" fillId="0" borderId="0" xfId="0" applyFill="1" applyBorder="1" applyProtection="1">
      <protection locked="0"/>
    </xf>
    <xf numFmtId="165" fontId="0" fillId="7" borderId="19" xfId="1" applyFont="1" applyFill="1" applyBorder="1" applyProtection="1">
      <protection hidden="1"/>
    </xf>
    <xf numFmtId="164" fontId="0" fillId="7" borderId="19" xfId="3" applyFont="1" applyFill="1" applyBorder="1" applyProtection="1">
      <protection hidden="1"/>
    </xf>
    <xf numFmtId="164" fontId="0" fillId="7" borderId="20" xfId="3" applyFont="1" applyFill="1" applyBorder="1" applyProtection="1">
      <protection hidden="1"/>
    </xf>
    <xf numFmtId="164" fontId="0" fillId="7" borderId="21" xfId="3" applyFont="1" applyFill="1" applyBorder="1" applyProtection="1">
      <protection hidden="1"/>
    </xf>
    <xf numFmtId="0" fontId="0" fillId="7" borderId="7" xfId="0" applyFill="1" applyBorder="1"/>
    <xf numFmtId="164" fontId="0" fillId="3" borderId="7" xfId="3" applyFont="1" applyFill="1" applyBorder="1"/>
    <xf numFmtId="0" fontId="2" fillId="4" borderId="7" xfId="0" applyFont="1" applyFill="1" applyBorder="1" applyProtection="1">
      <protection hidden="1"/>
    </xf>
    <xf numFmtId="0" fontId="0" fillId="7" borderId="7" xfId="0" applyFill="1" applyBorder="1" applyProtection="1">
      <protection hidden="1"/>
    </xf>
    <xf numFmtId="0" fontId="16" fillId="2" borderId="0" xfId="0" applyFont="1" applyFill="1" applyProtection="1">
      <protection hidden="1"/>
    </xf>
    <xf numFmtId="0" fontId="9" fillId="2" borderId="0" xfId="0" applyFont="1" applyFill="1" applyProtection="1">
      <protection hidden="1"/>
    </xf>
    <xf numFmtId="0" fontId="17" fillId="2" borderId="0" xfId="0" applyFont="1" applyFill="1" applyProtection="1">
      <protection hidden="1"/>
    </xf>
    <xf numFmtId="0" fontId="0" fillId="7" borderId="0" xfId="0" applyFill="1" applyBorder="1" applyProtection="1">
      <protection locked="0"/>
    </xf>
    <xf numFmtId="164" fontId="0" fillId="3" borderId="7" xfId="3" applyFont="1" applyFill="1" applyBorder="1" applyAlignment="1"/>
    <xf numFmtId="164" fontId="0" fillId="0" borderId="0" xfId="0" applyNumberFormat="1" applyFont="1"/>
    <xf numFmtId="0" fontId="0" fillId="2" borderId="1" xfId="0" applyFill="1" applyBorder="1"/>
    <xf numFmtId="0" fontId="0" fillId="0" borderId="0" xfId="0" applyFill="1" applyBorder="1" applyAlignment="1">
      <alignment vertical="center" textRotation="90"/>
    </xf>
    <xf numFmtId="0" fontId="0" fillId="0" borderId="0" xfId="0" applyFill="1" applyBorder="1"/>
    <xf numFmtId="0" fontId="0" fillId="2" borderId="28" xfId="0" applyFill="1" applyBorder="1" applyProtection="1">
      <protection hidden="1"/>
    </xf>
    <xf numFmtId="0" fontId="0" fillId="2" borderId="30" xfId="0" applyFill="1" applyBorder="1" applyProtection="1">
      <protection hidden="1"/>
    </xf>
    <xf numFmtId="0" fontId="0" fillId="2" borderId="23" xfId="0" applyFill="1" applyBorder="1" applyProtection="1">
      <protection hidden="1"/>
    </xf>
    <xf numFmtId="0" fontId="0" fillId="2" borderId="24" xfId="0" applyFill="1" applyBorder="1" applyProtection="1">
      <protection hidden="1"/>
    </xf>
    <xf numFmtId="0" fontId="0" fillId="2" borderId="34" xfId="0" applyFill="1" applyBorder="1" applyProtection="1">
      <protection hidden="1"/>
    </xf>
    <xf numFmtId="0" fontId="0" fillId="2" borderId="35" xfId="0" applyFill="1" applyBorder="1" applyProtection="1">
      <protection hidden="1"/>
    </xf>
    <xf numFmtId="0" fontId="0" fillId="2" borderId="36" xfId="0" applyFill="1" applyBorder="1" applyProtection="1">
      <protection hidden="1"/>
    </xf>
    <xf numFmtId="0" fontId="0" fillId="2" borderId="37" xfId="0" applyFill="1" applyBorder="1" applyProtection="1">
      <protection hidden="1"/>
    </xf>
    <xf numFmtId="0" fontId="0" fillId="2" borderId="25" xfId="0" applyFill="1" applyBorder="1" applyProtection="1">
      <protection hidden="1"/>
    </xf>
    <xf numFmtId="0" fontId="0" fillId="2" borderId="16" xfId="0" applyFill="1" applyBorder="1" applyProtection="1">
      <protection hidden="1"/>
    </xf>
    <xf numFmtId="0" fontId="0" fillId="2" borderId="26" xfId="0" applyFill="1" applyBorder="1" applyProtection="1">
      <protection hidden="1"/>
    </xf>
    <xf numFmtId="0" fontId="16" fillId="2" borderId="0" xfId="0" applyFont="1" applyFill="1" applyAlignment="1" applyProtection="1">
      <alignment horizontal="center" vertical="center"/>
      <protection hidden="1"/>
    </xf>
    <xf numFmtId="0" fontId="0" fillId="2" borderId="3" xfId="0" applyFill="1" applyBorder="1"/>
    <xf numFmtId="0" fontId="0" fillId="2" borderId="8" xfId="0" applyFill="1" applyBorder="1"/>
    <xf numFmtId="0" fontId="0" fillId="2" borderId="38" xfId="0" applyFill="1" applyBorder="1"/>
    <xf numFmtId="0" fontId="0" fillId="2" borderId="5" xfId="0" applyFill="1" applyBorder="1"/>
    <xf numFmtId="0" fontId="0" fillId="2" borderId="0" xfId="0" applyFill="1" applyBorder="1"/>
    <xf numFmtId="0" fontId="0" fillId="2" borderId="39" xfId="0" applyFill="1" applyBorder="1"/>
    <xf numFmtId="0" fontId="0" fillId="2" borderId="6" xfId="0" applyFill="1" applyBorder="1"/>
    <xf numFmtId="0" fontId="0" fillId="2" borderId="40" xfId="0" applyFill="1" applyBorder="1"/>
    <xf numFmtId="0" fontId="2" fillId="4" borderId="12" xfId="0" applyFont="1" applyFill="1" applyBorder="1"/>
    <xf numFmtId="0" fontId="0" fillId="4" borderId="4" xfId="0" applyFill="1" applyBorder="1"/>
    <xf numFmtId="0" fontId="0" fillId="4" borderId="10" xfId="0" applyFill="1" applyBorder="1"/>
    <xf numFmtId="0" fontId="0" fillId="2" borderId="0" xfId="0" applyFill="1" applyBorder="1" applyAlignment="1">
      <alignment horizontal="left"/>
    </xf>
    <xf numFmtId="0" fontId="0" fillId="2" borderId="39" xfId="0" applyFill="1" applyBorder="1" applyAlignment="1">
      <alignment horizontal="left"/>
    </xf>
    <xf numFmtId="0" fontId="2" fillId="2" borderId="0" xfId="0" applyFont="1" applyFill="1" applyBorder="1"/>
    <xf numFmtId="165" fontId="0" fillId="2" borderId="8" xfId="1" applyFont="1" applyFill="1" applyBorder="1"/>
    <xf numFmtId="165" fontId="0" fillId="2" borderId="8" xfId="0" applyNumberFormat="1" applyFill="1" applyBorder="1"/>
    <xf numFmtId="165" fontId="0" fillId="2" borderId="0" xfId="1" applyFont="1" applyFill="1" applyBorder="1"/>
    <xf numFmtId="165" fontId="0" fillId="2" borderId="0" xfId="0" applyNumberFormat="1" applyFill="1" applyBorder="1"/>
    <xf numFmtId="165" fontId="0" fillId="2" borderId="1" xfId="0" applyNumberFormat="1" applyFill="1" applyBorder="1"/>
    <xf numFmtId="0" fontId="0" fillId="2" borderId="8" xfId="0" applyFill="1" applyBorder="1" applyAlignment="1">
      <alignment horizontal="left"/>
    </xf>
    <xf numFmtId="0" fontId="2" fillId="2" borderId="3" xfId="0" applyFont="1" applyFill="1" applyBorder="1"/>
    <xf numFmtId="0" fontId="0" fillId="2" borderId="38" xfId="0" applyFill="1" applyBorder="1" applyAlignment="1">
      <alignment horizontal="left"/>
    </xf>
    <xf numFmtId="0" fontId="2" fillId="2" borderId="5" xfId="0" applyFont="1" applyFill="1" applyBorder="1"/>
    <xf numFmtId="0" fontId="2" fillId="2" borderId="0" xfId="0" applyFont="1" applyFill="1" applyBorder="1" applyAlignment="1">
      <alignment horizontal="left"/>
    </xf>
    <xf numFmtId="9" fontId="2" fillId="2" borderId="0" xfId="0" applyNumberFormat="1" applyFont="1" applyFill="1" applyBorder="1" applyAlignment="1">
      <alignment horizontal="left"/>
    </xf>
    <xf numFmtId="0" fontId="2" fillId="5" borderId="0" xfId="0" applyFont="1" applyFill="1" applyBorder="1" applyAlignment="1">
      <alignment horizontal="left"/>
    </xf>
    <xf numFmtId="166" fontId="0" fillId="2" borderId="0" xfId="2" applyNumberFormat="1" applyFont="1" applyFill="1"/>
    <xf numFmtId="0" fontId="0" fillId="7" borderId="12" xfId="0" applyFill="1" applyBorder="1" applyProtection="1">
      <protection hidden="1"/>
    </xf>
    <xf numFmtId="165" fontId="0" fillId="3" borderId="4" xfId="1" applyFont="1" applyFill="1" applyBorder="1" applyProtection="1">
      <protection hidden="1"/>
    </xf>
    <xf numFmtId="165" fontId="0" fillId="3" borderId="10" xfId="1" applyFont="1" applyFill="1" applyBorder="1" applyProtection="1">
      <protection hidden="1"/>
    </xf>
    <xf numFmtId="165" fontId="0" fillId="2" borderId="39" xfId="0" applyNumberFormat="1" applyFill="1" applyBorder="1"/>
    <xf numFmtId="165" fontId="0" fillId="2" borderId="38" xfId="1" applyFont="1" applyFill="1" applyBorder="1"/>
    <xf numFmtId="0" fontId="2" fillId="2" borderId="8" xfId="0" applyFont="1" applyFill="1" applyBorder="1"/>
    <xf numFmtId="165" fontId="2" fillId="2" borderId="38" xfId="1" applyFont="1" applyFill="1" applyBorder="1"/>
    <xf numFmtId="165" fontId="2" fillId="2" borderId="39" xfId="0" applyNumberFormat="1" applyFont="1" applyFill="1" applyBorder="1"/>
    <xf numFmtId="165" fontId="2" fillId="2" borderId="8" xfId="0" applyNumberFormat="1" applyFont="1" applyFill="1" applyBorder="1"/>
    <xf numFmtId="165" fontId="2" fillId="2" borderId="0" xfId="0" applyNumberFormat="1" applyFont="1" applyFill="1" applyBorder="1"/>
    <xf numFmtId="9" fontId="2" fillId="2" borderId="0" xfId="2" applyFont="1" applyFill="1" applyBorder="1" applyAlignment="1">
      <alignment horizontal="center"/>
    </xf>
    <xf numFmtId="0" fontId="0" fillId="2" borderId="3" xfId="0" applyFill="1" applyBorder="1" applyAlignment="1">
      <alignment horizontal="right"/>
    </xf>
    <xf numFmtId="0" fontId="0" fillId="2" borderId="5" xfId="0" applyFill="1" applyBorder="1" applyAlignment="1">
      <alignment horizontal="right"/>
    </xf>
    <xf numFmtId="0" fontId="0" fillId="7" borderId="4" xfId="0" applyFill="1" applyBorder="1"/>
    <xf numFmtId="0" fontId="0" fillId="7" borderId="10" xfId="0" applyFill="1" applyBorder="1"/>
    <xf numFmtId="14" fontId="0" fillId="2" borderId="39" xfId="2" applyNumberFormat="1" applyFont="1" applyFill="1" applyBorder="1"/>
    <xf numFmtId="14" fontId="0" fillId="2" borderId="39" xfId="0" applyNumberFormat="1" applyFill="1" applyBorder="1"/>
    <xf numFmtId="165" fontId="2" fillId="2" borderId="39" xfId="1" applyFont="1" applyFill="1" applyBorder="1"/>
    <xf numFmtId="164" fontId="2" fillId="2" borderId="39" xfId="3" applyFont="1" applyFill="1" applyBorder="1"/>
    <xf numFmtId="165" fontId="0" fillId="2" borderId="1" xfId="1" applyFont="1" applyFill="1" applyBorder="1"/>
    <xf numFmtId="0" fontId="2" fillId="7" borderId="12" xfId="0" applyFont="1" applyFill="1" applyBorder="1"/>
    <xf numFmtId="164" fontId="2" fillId="7" borderId="4" xfId="0" applyNumberFormat="1" applyFont="1" applyFill="1" applyBorder="1"/>
    <xf numFmtId="164" fontId="2" fillId="7" borderId="10" xfId="0" applyNumberFormat="1" applyFont="1" applyFill="1" applyBorder="1"/>
    <xf numFmtId="0" fontId="2" fillId="7" borderId="12" xfId="0" applyFont="1" applyFill="1" applyBorder="1" applyAlignment="1">
      <alignment horizontal="right"/>
    </xf>
    <xf numFmtId="0" fontId="21" fillId="7" borderId="12" xfId="0" applyFont="1" applyFill="1" applyBorder="1"/>
    <xf numFmtId="0" fontId="2" fillId="7" borderId="10" xfId="0" applyFont="1" applyFill="1" applyBorder="1"/>
    <xf numFmtId="0" fontId="21" fillId="7" borderId="10" xfId="0" applyFont="1" applyFill="1" applyBorder="1" applyAlignment="1">
      <alignment horizontal="center"/>
    </xf>
    <xf numFmtId="0" fontId="21" fillId="7" borderId="7" xfId="0" applyFont="1" applyFill="1" applyBorder="1" applyAlignment="1">
      <alignment horizontal="center"/>
    </xf>
    <xf numFmtId="0" fontId="0" fillId="2" borderId="41" xfId="0" applyFill="1" applyBorder="1"/>
    <xf numFmtId="164" fontId="0" fillId="2" borderId="42" xfId="3" applyFont="1" applyFill="1" applyBorder="1"/>
    <xf numFmtId="0" fontId="0" fillId="2" borderId="43" xfId="0" applyFill="1" applyBorder="1"/>
    <xf numFmtId="164" fontId="0" fillId="2" borderId="20" xfId="3" applyFont="1" applyFill="1" applyBorder="1"/>
    <xf numFmtId="164" fontId="0" fillId="2" borderId="45" xfId="3" applyFont="1" applyFill="1" applyBorder="1"/>
    <xf numFmtId="164" fontId="0" fillId="2" borderId="46" xfId="3" applyFont="1" applyFill="1" applyBorder="1"/>
    <xf numFmtId="164" fontId="0" fillId="2" borderId="47" xfId="3" applyFont="1" applyFill="1" applyBorder="1"/>
    <xf numFmtId="0" fontId="2" fillId="7" borderId="4" xfId="0" applyFont="1" applyFill="1" applyBorder="1"/>
    <xf numFmtId="164" fontId="0" fillId="2" borderId="39" xfId="0" applyNumberFormat="1" applyFill="1" applyBorder="1"/>
    <xf numFmtId="164" fontId="0" fillId="2" borderId="0" xfId="0" applyNumberFormat="1" applyFill="1" applyBorder="1"/>
    <xf numFmtId="165" fontId="2" fillId="2" borderId="0" xfId="1" applyFont="1" applyFill="1" applyBorder="1"/>
    <xf numFmtId="0" fontId="2" fillId="2" borderId="6" xfId="0" applyFont="1" applyFill="1" applyBorder="1"/>
    <xf numFmtId="164" fontId="2" fillId="2" borderId="1" xfId="3" applyFont="1" applyFill="1" applyBorder="1"/>
    <xf numFmtId="0" fontId="2" fillId="2" borderId="1" xfId="0" applyFont="1" applyFill="1" applyBorder="1"/>
    <xf numFmtId="164" fontId="2" fillId="2" borderId="40" xfId="0" applyNumberFormat="1" applyFont="1" applyFill="1" applyBorder="1"/>
    <xf numFmtId="164" fontId="2" fillId="2" borderId="40" xfId="3" applyFont="1" applyFill="1" applyBorder="1"/>
    <xf numFmtId="164" fontId="2" fillId="2" borderId="38" xfId="0" applyNumberFormat="1" applyFont="1" applyFill="1" applyBorder="1"/>
    <xf numFmtId="0" fontId="2" fillId="7" borderId="12" xfId="0" applyFont="1" applyFill="1" applyBorder="1" applyAlignment="1">
      <alignment horizontal="center"/>
    </xf>
    <xf numFmtId="0" fontId="2" fillId="7" borderId="10" xfId="0" applyFont="1" applyFill="1" applyBorder="1" applyAlignment="1">
      <alignment horizontal="center"/>
    </xf>
    <xf numFmtId="0" fontId="0" fillId="2" borderId="6" xfId="0" applyFill="1" applyBorder="1" applyAlignment="1">
      <alignment horizontal="right"/>
    </xf>
    <xf numFmtId="0" fontId="2" fillId="2" borderId="3" xfId="0" applyFont="1" applyFill="1" applyBorder="1" applyAlignment="1">
      <alignment horizontal="right"/>
    </xf>
    <xf numFmtId="164" fontId="2" fillId="2" borderId="8" xfId="3" applyFont="1" applyFill="1" applyBorder="1"/>
    <xf numFmtId="164" fontId="2" fillId="2" borderId="39" xfId="0" applyNumberFormat="1" applyFont="1" applyFill="1" applyBorder="1"/>
    <xf numFmtId="165" fontId="0" fillId="2" borderId="20" xfId="1" applyFont="1" applyFill="1" applyBorder="1"/>
    <xf numFmtId="165" fontId="0" fillId="2" borderId="42" xfId="1" applyFont="1" applyFill="1" applyBorder="1"/>
    <xf numFmtId="165" fontId="0" fillId="2" borderId="46" xfId="1" applyFont="1" applyFill="1" applyBorder="1"/>
    <xf numFmtId="165" fontId="0" fillId="2" borderId="47" xfId="1" applyFont="1" applyFill="1" applyBorder="1"/>
    <xf numFmtId="165" fontId="0" fillId="2" borderId="45" xfId="1" applyFont="1" applyFill="1" applyBorder="1"/>
    <xf numFmtId="165" fontId="0" fillId="2" borderId="48" xfId="1" applyFont="1" applyFill="1" applyBorder="1"/>
    <xf numFmtId="165" fontId="2" fillId="7" borderId="4" xfId="1" applyFont="1" applyFill="1" applyBorder="1"/>
    <xf numFmtId="165" fontId="2" fillId="7" borderId="10" xfId="1" applyFont="1" applyFill="1" applyBorder="1"/>
    <xf numFmtId="164" fontId="0" fillId="0" borderId="0" xfId="0" applyNumberFormat="1" applyFont="1" applyBorder="1"/>
    <xf numFmtId="0" fontId="22" fillId="3" borderId="49" xfId="0" applyFont="1" applyFill="1" applyBorder="1"/>
    <xf numFmtId="0" fontId="0" fillId="8" borderId="0" xfId="0" applyFill="1" applyProtection="1">
      <protection locked="0"/>
    </xf>
    <xf numFmtId="0" fontId="2" fillId="0" borderId="0" xfId="0" applyFont="1"/>
    <xf numFmtId="0" fontId="0" fillId="7" borderId="19" xfId="0" applyFill="1" applyBorder="1" applyProtection="1">
      <protection hidden="1"/>
    </xf>
    <xf numFmtId="165" fontId="0" fillId="7" borderId="0" xfId="1" applyFont="1" applyFill="1" applyProtection="1">
      <protection hidden="1"/>
    </xf>
    <xf numFmtId="164" fontId="0" fillId="7" borderId="0" xfId="3" applyFont="1" applyFill="1" applyProtection="1">
      <protection hidden="1"/>
    </xf>
    <xf numFmtId="0" fontId="0" fillId="7" borderId="7" xfId="0" applyFill="1" applyBorder="1" applyAlignment="1" applyProtection="1">
      <alignment horizontal="right"/>
      <protection hidden="1"/>
    </xf>
    <xf numFmtId="0" fontId="2" fillId="2" borderId="0" xfId="0" applyFont="1" applyFill="1" applyBorder="1" applyAlignment="1" applyProtection="1">
      <alignment horizontal="left"/>
      <protection hidden="1"/>
    </xf>
    <xf numFmtId="165" fontId="2" fillId="7" borderId="7" xfId="1" applyFont="1" applyFill="1" applyBorder="1" applyAlignment="1" applyProtection="1">
      <alignment horizontal="center"/>
      <protection hidden="1"/>
    </xf>
    <xf numFmtId="165" fontId="0" fillId="0" borderId="0" xfId="0" applyNumberFormat="1" applyFont="1" applyFill="1" applyProtection="1">
      <protection locked="0"/>
    </xf>
    <xf numFmtId="164" fontId="0" fillId="0" borderId="0" xfId="0" applyNumberFormat="1" applyFont="1" applyFill="1" applyProtection="1">
      <protection locked="0"/>
    </xf>
    <xf numFmtId="165" fontId="2" fillId="3" borderId="7" xfId="1" applyFont="1" applyFill="1" applyBorder="1" applyProtection="1">
      <protection hidden="1"/>
    </xf>
    <xf numFmtId="164" fontId="2" fillId="3" borderId="7" xfId="3" applyFont="1" applyFill="1" applyBorder="1" applyProtection="1">
      <protection hidden="1"/>
    </xf>
    <xf numFmtId="0" fontId="0" fillId="5" borderId="0" xfId="0" applyFill="1"/>
    <xf numFmtId="0" fontId="0" fillId="7" borderId="0" xfId="0" applyFill="1" applyProtection="1">
      <protection hidden="1"/>
    </xf>
    <xf numFmtId="0" fontId="0" fillId="4" borderId="0" xfId="0" applyFill="1" applyProtection="1">
      <protection hidden="1"/>
    </xf>
    <xf numFmtId="0" fontId="0" fillId="9" borderId="12" xfId="0" applyFill="1" applyBorder="1" applyAlignment="1">
      <alignment horizontal="right"/>
    </xf>
    <xf numFmtId="0" fontId="0" fillId="9" borderId="10" xfId="0" applyFill="1" applyBorder="1"/>
    <xf numFmtId="0" fontId="0" fillId="7" borderId="3" xfId="0" applyFill="1" applyBorder="1" applyAlignment="1">
      <alignment horizontal="right"/>
    </xf>
    <xf numFmtId="4" fontId="0" fillId="7" borderId="38" xfId="0" applyNumberFormat="1" applyFill="1" applyBorder="1"/>
    <xf numFmtId="0" fontId="0" fillId="7" borderId="6" xfId="0" applyFill="1" applyBorder="1" applyAlignment="1">
      <alignment horizontal="right"/>
    </xf>
    <xf numFmtId="4" fontId="0" fillId="7" borderId="40" xfId="0" applyNumberFormat="1" applyFill="1" applyBorder="1"/>
    <xf numFmtId="0" fontId="0" fillId="0" borderId="0" xfId="0" applyAlignment="1">
      <alignment horizontal="right"/>
    </xf>
    <xf numFmtId="4" fontId="2" fillId="7" borderId="7" xfId="0" applyNumberFormat="1" applyFont="1" applyFill="1" applyBorder="1"/>
    <xf numFmtId="0" fontId="2" fillId="10" borderId="7" xfId="0" applyFont="1" applyFill="1" applyBorder="1" applyAlignment="1">
      <alignment horizontal="center"/>
    </xf>
    <xf numFmtId="0" fontId="0" fillId="11" borderId="3" xfId="0" applyFill="1" applyBorder="1" applyAlignment="1">
      <alignment horizontal="center"/>
    </xf>
    <xf numFmtId="4" fontId="0" fillId="11" borderId="13" xfId="0" applyNumberFormat="1" applyFill="1" applyBorder="1"/>
    <xf numFmtId="10" fontId="0" fillId="11" borderId="13" xfId="0" applyNumberFormat="1" applyFill="1" applyBorder="1"/>
    <xf numFmtId="0" fontId="0" fillId="11" borderId="6" xfId="0" applyFill="1" applyBorder="1" applyAlignment="1">
      <alignment horizontal="center"/>
    </xf>
    <xf numFmtId="4" fontId="0" fillId="11" borderId="15" xfId="0" applyNumberFormat="1" applyFill="1" applyBorder="1"/>
    <xf numFmtId="10" fontId="0" fillId="11" borderId="15" xfId="0" applyNumberFormat="1" applyFill="1" applyBorder="1"/>
    <xf numFmtId="0" fontId="2" fillId="11" borderId="12" xfId="0" applyFont="1" applyFill="1" applyBorder="1" applyAlignment="1"/>
    <xf numFmtId="0" fontId="2" fillId="11" borderId="4" xfId="0" applyFont="1" applyFill="1" applyBorder="1" applyAlignment="1">
      <alignment horizontal="center"/>
    </xf>
    <xf numFmtId="0" fontId="2" fillId="11" borderId="4" xfId="0" applyFont="1" applyFill="1" applyBorder="1" applyAlignment="1"/>
    <xf numFmtId="0" fontId="2" fillId="11" borderId="10" xfId="0" applyFont="1" applyFill="1" applyBorder="1" applyAlignment="1">
      <alignment horizontal="right"/>
    </xf>
    <xf numFmtId="9" fontId="0" fillId="11" borderId="13" xfId="2" applyFont="1" applyFill="1" applyBorder="1"/>
    <xf numFmtId="2" fontId="0" fillId="11" borderId="13" xfId="0" applyNumberFormat="1" applyFill="1" applyBorder="1" applyAlignment="1">
      <alignment horizontal="right"/>
    </xf>
    <xf numFmtId="9" fontId="0" fillId="11" borderId="15" xfId="2" applyFont="1" applyFill="1" applyBorder="1"/>
    <xf numFmtId="2" fontId="0" fillId="11" borderId="15" xfId="0" applyNumberFormat="1" applyFill="1" applyBorder="1" applyAlignment="1">
      <alignment horizontal="right"/>
    </xf>
    <xf numFmtId="4" fontId="2" fillId="0" borderId="7" xfId="0" applyNumberFormat="1" applyFont="1" applyFill="1" applyBorder="1"/>
    <xf numFmtId="0" fontId="2" fillId="0" borderId="7" xfId="0" applyFont="1" applyFill="1" applyBorder="1" applyAlignment="1">
      <alignment horizontal="center"/>
    </xf>
    <xf numFmtId="0" fontId="2" fillId="0" borderId="7" xfId="0" applyFont="1" applyFill="1" applyBorder="1"/>
    <xf numFmtId="165" fontId="0" fillId="0" borderId="0" xfId="1" applyFont="1" applyFill="1"/>
    <xf numFmtId="10" fontId="0" fillId="0" borderId="0" xfId="2" applyNumberFormat="1" applyFont="1" applyFill="1"/>
    <xf numFmtId="0" fontId="2" fillId="7" borderId="7" xfId="0"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0" fontId="2" fillId="2" borderId="17" xfId="0" applyFont="1" applyFill="1" applyBorder="1" applyAlignment="1" applyProtection="1">
      <alignment horizontal="left"/>
      <protection locked="0"/>
    </xf>
    <xf numFmtId="0" fontId="2" fillId="2" borderId="1" xfId="0" applyFont="1" applyFill="1" applyBorder="1" applyProtection="1">
      <protection hidden="1"/>
    </xf>
    <xf numFmtId="0" fontId="3" fillId="2" borderId="9" xfId="0" applyFont="1" applyFill="1" applyBorder="1" applyProtection="1">
      <protection hidden="1"/>
    </xf>
    <xf numFmtId="0" fontId="3" fillId="2" borderId="2" xfId="0" applyFont="1" applyFill="1" applyBorder="1" applyProtection="1">
      <protection hidden="1"/>
    </xf>
    <xf numFmtId="9" fontId="2" fillId="5" borderId="0" xfId="2" applyFont="1" applyFill="1" applyProtection="1">
      <protection locked="0"/>
    </xf>
    <xf numFmtId="0" fontId="2" fillId="2" borderId="1" xfId="0" applyFont="1" applyFill="1" applyBorder="1" applyProtection="1">
      <protection locked="0"/>
    </xf>
    <xf numFmtId="0" fontId="3" fillId="2" borderId="9" xfId="0" applyFont="1" applyFill="1" applyBorder="1" applyProtection="1">
      <protection locked="0"/>
    </xf>
    <xf numFmtId="0" fontId="3" fillId="2" borderId="2" xfId="0" applyFont="1" applyFill="1" applyBorder="1" applyProtection="1">
      <protection locked="0"/>
    </xf>
    <xf numFmtId="0" fontId="2" fillId="2" borderId="1" xfId="0" applyFont="1" applyFill="1" applyBorder="1" applyAlignment="1" applyProtection="1">
      <alignment horizontal="left"/>
      <protection locked="0"/>
    </xf>
    <xf numFmtId="0" fontId="13" fillId="2" borderId="1" xfId="4" applyFill="1" applyBorder="1" applyAlignment="1" applyProtection="1">
      <alignment horizontal="left"/>
      <protection locked="0"/>
    </xf>
    <xf numFmtId="0" fontId="2" fillId="2" borderId="4" xfId="0" applyFont="1" applyFill="1" applyBorder="1" applyAlignment="1" applyProtection="1">
      <alignment horizontal="left"/>
      <protection locked="0"/>
    </xf>
    <xf numFmtId="1" fontId="0" fillId="0" borderId="0" xfId="0" applyNumberFormat="1" applyFill="1" applyProtection="1">
      <protection hidden="1"/>
    </xf>
    <xf numFmtId="165" fontId="0" fillId="0" borderId="0" xfId="0" applyNumberFormat="1" applyFill="1" applyProtection="1">
      <protection hidden="1"/>
    </xf>
    <xf numFmtId="165" fontId="0" fillId="5" borderId="7" xfId="1" applyFont="1" applyFill="1" applyBorder="1" applyAlignment="1" applyProtection="1">
      <alignment horizontal="center"/>
      <protection locked="0"/>
    </xf>
    <xf numFmtId="165" fontId="0" fillId="4" borderId="0" xfId="0" applyNumberFormat="1" applyFont="1" applyFill="1" applyProtection="1">
      <protection hidden="1"/>
    </xf>
    <xf numFmtId="0" fontId="2" fillId="4" borderId="7" xfId="0" applyFont="1" applyFill="1" applyBorder="1" applyAlignment="1" applyProtection="1">
      <alignment horizontal="right"/>
      <protection hidden="1"/>
    </xf>
    <xf numFmtId="0" fontId="0" fillId="4" borderId="11" xfId="0" applyFill="1" applyBorder="1" applyProtection="1">
      <protection hidden="1"/>
    </xf>
    <xf numFmtId="0" fontId="0" fillId="7" borderId="0" xfId="0" applyFill="1" applyProtection="1">
      <protection locked="0"/>
    </xf>
    <xf numFmtId="0" fontId="0" fillId="8" borderId="11" xfId="0" applyFill="1" applyBorder="1" applyProtection="1">
      <protection locked="0"/>
    </xf>
    <xf numFmtId="0" fontId="0" fillId="2" borderId="50" xfId="0" applyFill="1" applyBorder="1" applyProtection="1">
      <protection hidden="1"/>
    </xf>
    <xf numFmtId="0" fontId="2" fillId="2" borderId="49" xfId="0" applyFont="1" applyFill="1" applyBorder="1" applyAlignment="1" applyProtection="1">
      <alignment horizontal="center"/>
      <protection hidden="1"/>
    </xf>
    <xf numFmtId="0" fontId="0" fillId="2" borderId="51" xfId="0" applyFill="1" applyBorder="1" applyProtection="1">
      <protection hidden="1"/>
    </xf>
    <xf numFmtId="0" fontId="2" fillId="2" borderId="55" xfId="0" applyFont="1" applyFill="1" applyBorder="1" applyProtection="1">
      <protection hidden="1"/>
    </xf>
    <xf numFmtId="165" fontId="0" fillId="2" borderId="55" xfId="0" applyNumberFormat="1" applyFont="1" applyFill="1" applyBorder="1" applyProtection="1">
      <protection hidden="1"/>
    </xf>
    <xf numFmtId="0" fontId="0" fillId="2" borderId="56" xfId="0" applyFont="1" applyFill="1" applyBorder="1" applyProtection="1">
      <protection hidden="1"/>
    </xf>
    <xf numFmtId="165" fontId="0" fillId="2" borderId="56" xfId="0" applyNumberFormat="1" applyFill="1" applyBorder="1" applyProtection="1">
      <protection hidden="1"/>
    </xf>
    <xf numFmtId="0" fontId="3" fillId="2" borderId="57" xfId="0" applyFont="1" applyFill="1" applyBorder="1" applyProtection="1">
      <protection hidden="1"/>
    </xf>
    <xf numFmtId="0" fontId="0" fillId="2" borderId="57" xfId="0" applyFill="1" applyBorder="1" applyProtection="1">
      <protection hidden="1"/>
    </xf>
    <xf numFmtId="0" fontId="2" fillId="2" borderId="49" xfId="0" applyFont="1" applyFill="1" applyBorder="1" applyProtection="1">
      <protection hidden="1"/>
    </xf>
    <xf numFmtId="165" fontId="2" fillId="2" borderId="49" xfId="1" applyFont="1" applyFill="1" applyBorder="1" applyProtection="1">
      <protection hidden="1"/>
    </xf>
    <xf numFmtId="0" fontId="2" fillId="2" borderId="51" xfId="0" applyFont="1" applyFill="1" applyBorder="1" applyProtection="1">
      <protection hidden="1"/>
    </xf>
    <xf numFmtId="165" fontId="0" fillId="2" borderId="51" xfId="1" applyFont="1" applyFill="1" applyBorder="1" applyProtection="1">
      <protection hidden="1"/>
    </xf>
    <xf numFmtId="0" fontId="0" fillId="2" borderId="56" xfId="0" applyFill="1" applyBorder="1" applyProtection="1">
      <protection hidden="1"/>
    </xf>
    <xf numFmtId="0" fontId="0" fillId="2" borderId="58" xfId="0" applyFill="1" applyBorder="1" applyProtection="1">
      <protection hidden="1"/>
    </xf>
    <xf numFmtId="165" fontId="0" fillId="2" borderId="58" xfId="0" applyNumberFormat="1" applyFill="1" applyBorder="1" applyProtection="1">
      <protection hidden="1"/>
    </xf>
    <xf numFmtId="165" fontId="2" fillId="2" borderId="49" xfId="0" applyNumberFormat="1" applyFont="1" applyFill="1" applyBorder="1" applyProtection="1">
      <protection hidden="1"/>
    </xf>
    <xf numFmtId="0" fontId="0" fillId="2" borderId="59" xfId="0" applyFill="1" applyBorder="1" applyProtection="1">
      <protection hidden="1"/>
    </xf>
    <xf numFmtId="165" fontId="0" fillId="2" borderId="59" xfId="0" applyNumberFormat="1" applyFill="1" applyBorder="1" applyProtection="1">
      <protection hidden="1"/>
    </xf>
    <xf numFmtId="0" fontId="2" fillId="2" borderId="58" xfId="0" applyFont="1" applyFill="1" applyBorder="1" applyProtection="1">
      <protection hidden="1"/>
    </xf>
    <xf numFmtId="165" fontId="2" fillId="2" borderId="58" xfId="0" applyNumberFormat="1" applyFont="1" applyFill="1" applyBorder="1" applyProtection="1">
      <protection hidden="1"/>
    </xf>
    <xf numFmtId="0" fontId="2" fillId="7" borderId="52" xfId="0" applyFont="1" applyFill="1" applyBorder="1" applyAlignment="1" applyProtection="1">
      <alignment vertical="center"/>
      <protection hidden="1"/>
    </xf>
    <xf numFmtId="0" fontId="2" fillId="2" borderId="52" xfId="0" applyFont="1" applyFill="1" applyBorder="1" applyAlignment="1" applyProtection="1">
      <alignment vertical="center"/>
      <protection hidden="1"/>
    </xf>
    <xf numFmtId="0" fontId="24" fillId="2" borderId="70" xfId="0" applyFont="1" applyFill="1" applyBorder="1" applyProtection="1">
      <protection hidden="1"/>
    </xf>
    <xf numFmtId="0" fontId="24" fillId="2" borderId="73" xfId="0" applyFont="1" applyFill="1" applyBorder="1" applyProtection="1">
      <protection hidden="1"/>
    </xf>
    <xf numFmtId="0" fontId="24" fillId="2" borderId="76" xfId="0" applyFont="1" applyFill="1" applyBorder="1" applyProtection="1">
      <protection hidden="1"/>
    </xf>
    <xf numFmtId="0" fontId="24" fillId="2" borderId="73" xfId="0" applyFont="1" applyFill="1" applyBorder="1" applyAlignment="1" applyProtection="1">
      <alignment horizontal="right"/>
      <protection hidden="1"/>
    </xf>
    <xf numFmtId="0" fontId="0" fillId="2" borderId="0" xfId="0" applyFont="1" applyFill="1" applyBorder="1" applyAlignment="1" applyProtection="1">
      <alignment vertical="center"/>
      <protection hidden="1"/>
    </xf>
    <xf numFmtId="0" fontId="2" fillId="7" borderId="82" xfId="0" applyFont="1" applyFill="1" applyBorder="1" applyAlignment="1" applyProtection="1">
      <alignment vertical="center"/>
      <protection hidden="1"/>
    </xf>
    <xf numFmtId="0" fontId="24" fillId="2" borderId="70" xfId="0" applyFont="1" applyFill="1" applyBorder="1" applyAlignment="1" applyProtection="1">
      <alignment vertical="center"/>
      <protection hidden="1"/>
    </xf>
    <xf numFmtId="0" fontId="24" fillId="2" borderId="73" xfId="0" applyFont="1" applyFill="1" applyBorder="1" applyAlignment="1" applyProtection="1">
      <alignment vertical="center"/>
      <protection hidden="1"/>
    </xf>
    <xf numFmtId="0" fontId="24" fillId="2" borderId="76" xfId="0" applyFont="1" applyFill="1" applyBorder="1" applyAlignment="1" applyProtection="1">
      <alignment vertical="center"/>
      <protection hidden="1"/>
    </xf>
    <xf numFmtId="0" fontId="22" fillId="7" borderId="31" xfId="0" applyFont="1" applyFill="1" applyBorder="1" applyAlignment="1" applyProtection="1">
      <alignment vertical="center"/>
      <protection hidden="1"/>
    </xf>
    <xf numFmtId="0" fontId="22" fillId="7" borderId="32" xfId="0" applyFont="1" applyFill="1" applyBorder="1" applyAlignment="1" applyProtection="1">
      <alignment vertical="center"/>
      <protection hidden="1"/>
    </xf>
    <xf numFmtId="164" fontId="22" fillId="7" borderId="32" xfId="0" applyNumberFormat="1" applyFont="1" applyFill="1" applyBorder="1" applyAlignment="1" applyProtection="1">
      <alignment vertical="center"/>
      <protection hidden="1"/>
    </xf>
    <xf numFmtId="0" fontId="22" fillId="7" borderId="33" xfId="0" applyFont="1" applyFill="1" applyBorder="1" applyAlignment="1" applyProtection="1">
      <alignment vertical="center"/>
      <protection hidden="1"/>
    </xf>
    <xf numFmtId="0" fontId="0" fillId="2" borderId="31" xfId="0" applyFill="1" applyBorder="1" applyProtection="1">
      <protection hidden="1"/>
    </xf>
    <xf numFmtId="0" fontId="2" fillId="2" borderId="53" xfId="0" applyFont="1" applyFill="1" applyBorder="1" applyAlignment="1" applyProtection="1">
      <alignment horizontal="center"/>
      <protection hidden="1"/>
    </xf>
    <xf numFmtId="0" fontId="2" fillId="2" borderId="33" xfId="0" applyFont="1" applyFill="1" applyBorder="1" applyAlignment="1" applyProtection="1">
      <alignment horizontal="center"/>
      <protection hidden="1"/>
    </xf>
    <xf numFmtId="165" fontId="0" fillId="2" borderId="61" xfId="0" applyNumberFormat="1" applyFill="1" applyBorder="1" applyProtection="1">
      <protection hidden="1"/>
    </xf>
    <xf numFmtId="165" fontId="0" fillId="2" borderId="24" xfId="0" applyNumberFormat="1" applyFill="1" applyBorder="1" applyProtection="1">
      <protection hidden="1"/>
    </xf>
    <xf numFmtId="0" fontId="2" fillId="2" borderId="63" xfId="0" applyFont="1" applyFill="1" applyBorder="1" applyProtection="1">
      <protection hidden="1"/>
    </xf>
    <xf numFmtId="0" fontId="0" fillId="2" borderId="64" xfId="0" applyFill="1" applyBorder="1" applyProtection="1">
      <protection hidden="1"/>
    </xf>
    <xf numFmtId="165" fontId="2" fillId="2" borderId="65" xfId="0" applyNumberFormat="1" applyFont="1" applyFill="1" applyBorder="1" applyProtection="1">
      <protection hidden="1"/>
    </xf>
    <xf numFmtId="0" fontId="22" fillId="2" borderId="52" xfId="0" applyFont="1" applyFill="1" applyBorder="1" applyAlignment="1" applyProtection="1">
      <alignment horizontal="center"/>
      <protection hidden="1"/>
    </xf>
    <xf numFmtId="0" fontId="22" fillId="2" borderId="53" xfId="0" applyFont="1" applyFill="1" applyBorder="1" applyAlignment="1" applyProtection="1">
      <alignment horizontal="center"/>
      <protection hidden="1"/>
    </xf>
    <xf numFmtId="0" fontId="22" fillId="2" borderId="54" xfId="0" applyFont="1" applyFill="1" applyBorder="1" applyAlignment="1" applyProtection="1">
      <alignment horizontal="center"/>
      <protection hidden="1"/>
    </xf>
    <xf numFmtId="0" fontId="22" fillId="2" borderId="60" xfId="0" applyFont="1" applyFill="1" applyBorder="1" applyAlignment="1" applyProtection="1">
      <alignment horizontal="right"/>
      <protection hidden="1"/>
    </xf>
    <xf numFmtId="0" fontId="22" fillId="2" borderId="79" xfId="0" applyFont="1" applyFill="1" applyBorder="1" applyAlignment="1" applyProtection="1">
      <alignment horizontal="right"/>
      <protection hidden="1"/>
    </xf>
    <xf numFmtId="0" fontId="21" fillId="2" borderId="66" xfId="0" applyFont="1" applyFill="1" applyBorder="1" applyProtection="1">
      <protection hidden="1"/>
    </xf>
    <xf numFmtId="0" fontId="3" fillId="2" borderId="67" xfId="0" applyFont="1" applyFill="1" applyBorder="1" applyProtection="1">
      <protection hidden="1"/>
    </xf>
    <xf numFmtId="0" fontId="3" fillId="2" borderId="68" xfId="0" applyFont="1" applyFill="1" applyBorder="1" applyProtection="1">
      <protection hidden="1"/>
    </xf>
    <xf numFmtId="0" fontId="3" fillId="2" borderId="0" xfId="0" applyFont="1" applyFill="1" applyBorder="1" applyProtection="1">
      <protection hidden="1"/>
    </xf>
    <xf numFmtId="164" fontId="3" fillId="2" borderId="0" xfId="3" applyFont="1" applyFill="1" applyBorder="1" applyProtection="1">
      <protection hidden="1"/>
    </xf>
    <xf numFmtId="0" fontId="0" fillId="2" borderId="3" xfId="0" applyFill="1" applyBorder="1" applyProtection="1">
      <protection hidden="1"/>
    </xf>
    <xf numFmtId="0" fontId="0" fillId="2" borderId="8" xfId="0" applyFill="1" applyBorder="1" applyProtection="1">
      <protection hidden="1"/>
    </xf>
    <xf numFmtId="0" fontId="0" fillId="2" borderId="38" xfId="0" applyFill="1" applyBorder="1" applyProtection="1">
      <protection hidden="1"/>
    </xf>
    <xf numFmtId="0" fontId="9" fillId="2" borderId="5" xfId="0" applyFont="1" applyFill="1" applyBorder="1" applyAlignment="1" applyProtection="1">
      <alignment horizontal="right"/>
      <protection hidden="1"/>
    </xf>
    <xf numFmtId="0" fontId="0" fillId="2" borderId="39" xfId="0" applyFill="1" applyBorder="1" applyProtection="1">
      <protection hidden="1"/>
    </xf>
    <xf numFmtId="0" fontId="9" fillId="2" borderId="0" xfId="0" applyFont="1" applyFill="1" applyBorder="1" applyProtection="1">
      <protection hidden="1"/>
    </xf>
    <xf numFmtId="0" fontId="9" fillId="2" borderId="1" xfId="0" applyFont="1" applyFill="1" applyBorder="1" applyProtection="1">
      <protection hidden="1"/>
    </xf>
    <xf numFmtId="0" fontId="9" fillId="2" borderId="6" xfId="0" applyFont="1" applyFill="1" applyBorder="1" applyProtection="1">
      <protection hidden="1"/>
    </xf>
    <xf numFmtId="0" fontId="0" fillId="2" borderId="40" xfId="0" applyFill="1" applyBorder="1" applyProtection="1">
      <protection hidden="1"/>
    </xf>
    <xf numFmtId="0" fontId="8" fillId="2" borderId="0" xfId="0" applyFont="1" applyFill="1" applyProtection="1">
      <protection hidden="1"/>
    </xf>
    <xf numFmtId="0" fontId="10" fillId="2" borderId="0" xfId="0" applyFont="1" applyFill="1" applyProtection="1">
      <protection hidden="1"/>
    </xf>
    <xf numFmtId="0" fontId="13" fillId="2" borderId="0" xfId="4" applyFill="1" applyProtection="1">
      <protection hidden="1"/>
    </xf>
    <xf numFmtId="4" fontId="0" fillId="2" borderId="0" xfId="0" applyNumberFormat="1" applyFill="1" applyProtection="1">
      <protection hidden="1"/>
    </xf>
    <xf numFmtId="0" fontId="3" fillId="2" borderId="0" xfId="0" applyFont="1" applyFill="1" applyProtection="1">
      <protection hidden="1"/>
    </xf>
    <xf numFmtId="0" fontId="2" fillId="2" borderId="0" xfId="0" applyFont="1" applyFill="1" applyBorder="1" applyProtection="1">
      <protection locked="0" hidden="1"/>
    </xf>
    <xf numFmtId="0" fontId="3" fillId="2" borderId="0" xfId="0" applyFont="1" applyFill="1" applyBorder="1" applyProtection="1">
      <protection locked="0" hidden="1"/>
    </xf>
    <xf numFmtId="0" fontId="0" fillId="2" borderId="5" xfId="0" applyFont="1" applyFill="1" applyBorder="1"/>
    <xf numFmtId="0" fontId="0" fillId="0" borderId="8" xfId="0" applyFill="1" applyBorder="1"/>
    <xf numFmtId="165" fontId="0" fillId="0" borderId="8" xfId="1" applyFont="1" applyFill="1" applyBorder="1"/>
    <xf numFmtId="10" fontId="0" fillId="0" borderId="8" xfId="2" applyNumberFormat="1" applyFont="1" applyFill="1" applyBorder="1"/>
    <xf numFmtId="0" fontId="0" fillId="0" borderId="38" xfId="0" applyFill="1" applyBorder="1"/>
    <xf numFmtId="165" fontId="0" fillId="0" borderId="0" xfId="1" applyFont="1" applyFill="1" applyBorder="1"/>
    <xf numFmtId="10" fontId="0" fillId="0" borderId="0" xfId="2" applyNumberFormat="1" applyFont="1" applyFill="1" applyBorder="1"/>
    <xf numFmtId="0" fontId="0" fillId="0" borderId="39" xfId="0" applyFill="1" applyBorder="1"/>
    <xf numFmtId="0" fontId="0" fillId="0" borderId="1" xfId="0" applyFill="1" applyBorder="1"/>
    <xf numFmtId="165" fontId="0" fillId="0" borderId="1" xfId="1" applyFont="1" applyFill="1" applyBorder="1"/>
    <xf numFmtId="10" fontId="0" fillId="0" borderId="1" xfId="2" applyNumberFormat="1" applyFont="1" applyFill="1" applyBorder="1"/>
    <xf numFmtId="0" fontId="0" fillId="0" borderId="40" xfId="0" applyFill="1" applyBorder="1"/>
    <xf numFmtId="0" fontId="2" fillId="4" borderId="6" xfId="0" applyFont="1" applyFill="1" applyBorder="1"/>
    <xf numFmtId="0" fontId="0" fillId="4" borderId="1" xfId="0" applyFill="1" applyBorder="1"/>
    <xf numFmtId="164" fontId="0" fillId="5" borderId="0" xfId="3" applyFont="1" applyFill="1" applyBorder="1" applyAlignment="1">
      <alignment horizontal="left"/>
    </xf>
    <xf numFmtId="164" fontId="0" fillId="5" borderId="1" xfId="3" applyFont="1" applyFill="1" applyBorder="1" applyAlignment="1">
      <alignment horizontal="left"/>
    </xf>
    <xf numFmtId="164" fontId="0" fillId="2" borderId="0" xfId="3" applyFont="1" applyFill="1" applyBorder="1"/>
    <xf numFmtId="164" fontId="0" fillId="2" borderId="1" xfId="3" applyFont="1" applyFill="1" applyBorder="1"/>
    <xf numFmtId="0" fontId="0" fillId="4" borderId="40" xfId="0" applyFill="1" applyBorder="1"/>
    <xf numFmtId="0" fontId="2" fillId="4" borderId="12" xfId="0" applyFont="1" applyFill="1" applyBorder="1" applyAlignment="1">
      <alignment horizontal="center"/>
    </xf>
    <xf numFmtId="0" fontId="2" fillId="4" borderId="4" xfId="0" applyFont="1" applyFill="1" applyBorder="1" applyAlignment="1">
      <alignment horizontal="center"/>
    </xf>
    <xf numFmtId="164" fontId="26" fillId="4" borderId="4" xfId="4" applyNumberFormat="1" applyFont="1" applyFill="1" applyBorder="1" applyAlignment="1">
      <alignment horizontal="center"/>
    </xf>
    <xf numFmtId="0" fontId="2" fillId="4" borderId="10" xfId="0" applyFont="1" applyFill="1" applyBorder="1" applyAlignment="1">
      <alignment horizontal="center"/>
    </xf>
    <xf numFmtId="0" fontId="21" fillId="7" borderId="10" xfId="0" applyFont="1" applyFill="1" applyBorder="1" applyAlignment="1">
      <alignment horizontal="center"/>
    </xf>
    <xf numFmtId="168" fontId="0" fillId="2" borderId="8" xfId="3" applyNumberFormat="1" applyFont="1" applyFill="1" applyBorder="1"/>
    <xf numFmtId="168" fontId="0" fillId="2" borderId="0" xfId="3" applyNumberFormat="1" applyFont="1" applyFill="1" applyBorder="1"/>
    <xf numFmtId="168" fontId="2" fillId="2" borderId="1" xfId="3" applyNumberFormat="1" applyFont="1" applyFill="1" applyBorder="1"/>
    <xf numFmtId="168" fontId="0" fillId="2" borderId="42" xfId="3" applyNumberFormat="1" applyFont="1" applyFill="1" applyBorder="1"/>
    <xf numFmtId="168" fontId="0" fillId="2" borderId="46" xfId="3" applyNumberFormat="1" applyFont="1" applyFill="1" applyBorder="1"/>
    <xf numFmtId="168" fontId="0" fillId="2" borderId="20" xfId="3" applyNumberFormat="1" applyFont="1" applyFill="1" applyBorder="1"/>
    <xf numFmtId="168" fontId="0" fillId="2" borderId="45" xfId="3" applyNumberFormat="1" applyFont="1" applyFill="1" applyBorder="1"/>
    <xf numFmtId="168" fontId="2" fillId="4" borderId="1" xfId="0" applyNumberFormat="1" applyFont="1" applyFill="1" applyBorder="1"/>
    <xf numFmtId="0" fontId="27" fillId="2" borderId="85" xfId="0" applyFont="1" applyFill="1" applyBorder="1" applyAlignment="1" applyProtection="1">
      <alignment horizontal="center" vertical="center"/>
      <protection hidden="1"/>
    </xf>
    <xf numFmtId="168" fontId="27" fillId="2" borderId="86" xfId="3" applyNumberFormat="1" applyFont="1" applyFill="1" applyBorder="1" applyAlignment="1" applyProtection="1">
      <alignment horizontal="center" vertical="center"/>
      <protection hidden="1"/>
    </xf>
    <xf numFmtId="168" fontId="24" fillId="2" borderId="87" xfId="3" applyNumberFormat="1" applyFont="1" applyFill="1" applyBorder="1" applyAlignment="1" applyProtection="1">
      <alignment horizontal="center" vertical="center"/>
      <protection hidden="1"/>
    </xf>
    <xf numFmtId="0" fontId="0" fillId="5" borderId="39" xfId="0" applyFill="1" applyBorder="1" applyProtection="1">
      <protection hidden="1"/>
    </xf>
    <xf numFmtId="0" fontId="0" fillId="5" borderId="40" xfId="0" applyFill="1" applyBorder="1" applyProtection="1">
      <protection hidden="1"/>
    </xf>
    <xf numFmtId="168" fontId="2" fillId="7" borderId="53" xfId="3" applyNumberFormat="1" applyFont="1" applyFill="1" applyBorder="1" applyAlignment="1" applyProtection="1">
      <alignment horizontal="center" vertical="center"/>
      <protection hidden="1"/>
    </xf>
    <xf numFmtId="168" fontId="0" fillId="7" borderId="54" xfId="3" applyNumberFormat="1" applyFont="1" applyFill="1" applyBorder="1" applyAlignment="1" applyProtection="1">
      <alignment horizontal="center" vertical="center"/>
      <protection hidden="1"/>
    </xf>
    <xf numFmtId="168" fontId="2" fillId="7" borderId="54" xfId="3" applyNumberFormat="1" applyFont="1" applyFill="1" applyBorder="1" applyAlignment="1" applyProtection="1">
      <alignment horizontal="center" vertical="center"/>
      <protection hidden="1"/>
    </xf>
    <xf numFmtId="168" fontId="2" fillId="2" borderId="53" xfId="3" applyNumberFormat="1" applyFont="1" applyFill="1" applyBorder="1" applyAlignment="1" applyProtection="1">
      <alignment horizontal="center" vertical="center"/>
      <protection hidden="1"/>
    </xf>
    <xf numFmtId="168" fontId="2" fillId="2" borderId="54" xfId="3" applyNumberFormat="1" applyFont="1" applyFill="1" applyBorder="1" applyAlignment="1" applyProtection="1">
      <alignment horizontal="center" vertical="center"/>
      <protection hidden="1"/>
    </xf>
    <xf numFmtId="168" fontId="24" fillId="2" borderId="71" xfId="3" applyNumberFormat="1" applyFont="1" applyFill="1" applyBorder="1" applyAlignment="1" applyProtection="1">
      <alignment horizontal="center"/>
      <protection hidden="1"/>
    </xf>
    <xf numFmtId="168" fontId="25" fillId="2" borderId="72" xfId="3" applyNumberFormat="1" applyFont="1" applyFill="1" applyBorder="1" applyAlignment="1" applyProtection="1">
      <alignment horizontal="center"/>
      <protection hidden="1"/>
    </xf>
    <xf numFmtId="168" fontId="24" fillId="2" borderId="74" xfId="3" applyNumberFormat="1" applyFont="1" applyFill="1" applyBorder="1" applyAlignment="1" applyProtection="1">
      <alignment horizontal="center"/>
      <protection hidden="1"/>
    </xf>
    <xf numFmtId="168" fontId="25" fillId="2" borderId="75" xfId="3" applyNumberFormat="1" applyFont="1" applyFill="1" applyBorder="1" applyAlignment="1" applyProtection="1">
      <alignment horizontal="center"/>
      <protection hidden="1"/>
    </xf>
    <xf numFmtId="168" fontId="24" fillId="2" borderId="77" xfId="3" applyNumberFormat="1" applyFont="1" applyFill="1" applyBorder="1" applyAlignment="1" applyProtection="1">
      <alignment horizontal="center"/>
      <protection hidden="1"/>
    </xf>
    <xf numFmtId="168" fontId="25" fillId="2" borderId="78" xfId="3" applyNumberFormat="1" applyFont="1" applyFill="1" applyBorder="1" applyAlignment="1" applyProtection="1">
      <alignment horizontal="center"/>
      <protection hidden="1"/>
    </xf>
    <xf numFmtId="168" fontId="2" fillId="7" borderId="83" xfId="3" applyNumberFormat="1" applyFont="1" applyFill="1" applyBorder="1" applyAlignment="1" applyProtection="1">
      <alignment horizontal="center" vertical="center"/>
      <protection hidden="1"/>
    </xf>
    <xf numFmtId="168" fontId="2" fillId="7" borderId="84" xfId="3" applyNumberFormat="1" applyFont="1" applyFill="1" applyBorder="1" applyAlignment="1" applyProtection="1">
      <alignment horizontal="center" vertical="center"/>
      <protection hidden="1"/>
    </xf>
    <xf numFmtId="168" fontId="2" fillId="2" borderId="49" xfId="0" applyNumberFormat="1" applyFont="1" applyFill="1" applyBorder="1" applyAlignment="1" applyProtection="1">
      <alignment horizontal="center"/>
      <protection hidden="1"/>
    </xf>
    <xf numFmtId="168" fontId="24" fillId="2" borderId="71" xfId="3" applyNumberFormat="1" applyFont="1" applyFill="1" applyBorder="1" applyAlignment="1" applyProtection="1">
      <alignment horizontal="center" vertical="center"/>
      <protection hidden="1"/>
    </xf>
    <xf numFmtId="168" fontId="24" fillId="2" borderId="72" xfId="3" applyNumberFormat="1" applyFont="1" applyFill="1" applyBorder="1" applyAlignment="1" applyProtection="1">
      <alignment horizontal="center" vertical="center"/>
      <protection hidden="1"/>
    </xf>
    <xf numFmtId="168" fontId="24" fillId="2" borderId="74" xfId="3" applyNumberFormat="1" applyFont="1" applyFill="1" applyBorder="1" applyAlignment="1" applyProtection="1">
      <alignment horizontal="center" vertical="center"/>
      <protection hidden="1"/>
    </xf>
    <xf numFmtId="168" fontId="24" fillId="2" borderId="75" xfId="3" applyNumberFormat="1" applyFont="1" applyFill="1" applyBorder="1" applyAlignment="1" applyProtection="1">
      <alignment horizontal="center" vertical="center"/>
      <protection hidden="1"/>
    </xf>
    <xf numFmtId="168" fontId="24" fillId="2" borderId="77" xfId="3" applyNumberFormat="1" applyFont="1" applyFill="1" applyBorder="1" applyAlignment="1" applyProtection="1">
      <alignment horizontal="center" vertical="center"/>
      <protection hidden="1"/>
    </xf>
    <xf numFmtId="168" fontId="24" fillId="2" borderId="78" xfId="3" applyNumberFormat="1" applyFont="1" applyFill="1" applyBorder="1" applyAlignment="1" applyProtection="1">
      <alignment horizontal="center" vertical="center"/>
      <protection hidden="1"/>
    </xf>
    <xf numFmtId="168" fontId="22" fillId="2" borderId="61" xfId="3" applyNumberFormat="1" applyFont="1" applyFill="1" applyBorder="1" applyProtection="1">
      <protection hidden="1"/>
    </xf>
    <xf numFmtId="168" fontId="22" fillId="2" borderId="62" xfId="3" applyNumberFormat="1" applyFont="1" applyFill="1" applyBorder="1" applyProtection="1">
      <protection hidden="1"/>
    </xf>
    <xf numFmtId="168" fontId="22" fillId="2" borderId="80" xfId="3" applyNumberFormat="1" applyFont="1" applyFill="1" applyBorder="1" applyProtection="1">
      <protection hidden="1"/>
    </xf>
    <xf numFmtId="168" fontId="22" fillId="2" borderId="81" xfId="3" applyNumberFormat="1" applyFont="1" applyFill="1" applyBorder="1" applyProtection="1">
      <protection hidden="1"/>
    </xf>
    <xf numFmtId="168" fontId="3" fillId="2" borderId="69" xfId="3" applyNumberFormat="1" applyFont="1" applyFill="1" applyBorder="1" applyProtection="1">
      <protection hidden="1"/>
    </xf>
    <xf numFmtId="165" fontId="0" fillId="2" borderId="0" xfId="1" applyFont="1" applyFill="1" applyAlignment="1" applyProtection="1">
      <alignment horizontal="center"/>
      <protection hidden="1"/>
    </xf>
    <xf numFmtId="168" fontId="0" fillId="2" borderId="0" xfId="0" applyNumberFormat="1" applyFill="1" applyProtection="1">
      <protection hidden="1"/>
    </xf>
    <xf numFmtId="168" fontId="2" fillId="3" borderId="7" xfId="3" applyNumberFormat="1" applyFont="1" applyFill="1" applyBorder="1" applyProtection="1">
      <protection hidden="1"/>
    </xf>
    <xf numFmtId="168" fontId="0" fillId="0" borderId="0" xfId="0" applyNumberFormat="1" applyFill="1" applyAlignment="1" applyProtection="1">
      <alignment horizontal="center"/>
      <protection hidden="1"/>
    </xf>
    <xf numFmtId="168" fontId="0" fillId="0" borderId="0" xfId="3" applyNumberFormat="1" applyFont="1" applyFill="1" applyProtection="1">
      <protection locked="0"/>
    </xf>
    <xf numFmtId="168" fontId="0" fillId="0" borderId="0" xfId="0" applyNumberFormat="1" applyFill="1" applyProtection="1">
      <protection hidden="1"/>
    </xf>
    <xf numFmtId="168" fontId="0" fillId="3" borderId="7" xfId="3" applyNumberFormat="1" applyFont="1" applyFill="1" applyBorder="1" applyProtection="1">
      <protection hidden="1"/>
    </xf>
    <xf numFmtId="168" fontId="0" fillId="0" borderId="0" xfId="0" applyNumberFormat="1" applyFont="1" applyFill="1" applyProtection="1">
      <protection hidden="1"/>
    </xf>
    <xf numFmtId="164" fontId="0" fillId="3" borderId="7" xfId="3" applyFont="1" applyFill="1" applyBorder="1" applyProtection="1">
      <protection hidden="1"/>
    </xf>
    <xf numFmtId="14" fontId="0" fillId="5" borderId="7" xfId="1" applyNumberFormat="1" applyFont="1" applyFill="1" applyBorder="1" applyAlignment="1" applyProtection="1">
      <alignment horizontal="center"/>
      <protection locked="0"/>
    </xf>
    <xf numFmtId="165" fontId="24" fillId="2" borderId="85" xfId="1" applyFont="1" applyFill="1" applyBorder="1" applyAlignment="1" applyProtection="1">
      <alignment horizontal="center" vertical="center"/>
      <protection hidden="1"/>
    </xf>
    <xf numFmtId="165" fontId="24" fillId="2" borderId="86" xfId="1" applyFont="1" applyFill="1" applyBorder="1" applyAlignment="1" applyProtection="1">
      <alignment horizontal="center" vertical="center"/>
      <protection hidden="1"/>
    </xf>
    <xf numFmtId="0" fontId="0" fillId="0" borderId="43" xfId="0" applyFill="1" applyBorder="1"/>
    <xf numFmtId="0" fontId="0" fillId="0" borderId="44" xfId="0" applyFill="1" applyBorder="1"/>
    <xf numFmtId="9" fontId="0" fillId="2" borderId="0" xfId="2" applyFont="1" applyFill="1" applyProtection="1">
      <protection hidden="1"/>
    </xf>
    <xf numFmtId="9" fontId="2" fillId="2" borderId="49" xfId="2" applyFont="1" applyFill="1" applyBorder="1" applyAlignment="1" applyProtection="1">
      <alignment horizontal="center"/>
      <protection hidden="1"/>
    </xf>
    <xf numFmtId="9" fontId="0" fillId="2" borderId="51" xfId="2" applyFont="1" applyFill="1" applyBorder="1" applyAlignment="1" applyProtection="1">
      <alignment horizontal="center"/>
      <protection hidden="1"/>
    </xf>
    <xf numFmtId="9" fontId="0" fillId="2" borderId="55" xfId="2" applyFont="1" applyFill="1" applyBorder="1" applyAlignment="1" applyProtection="1">
      <alignment horizontal="center"/>
      <protection hidden="1"/>
    </xf>
    <xf numFmtId="9" fontId="0" fillId="2" borderId="56" xfId="2" applyFont="1" applyFill="1" applyBorder="1" applyAlignment="1" applyProtection="1">
      <alignment horizontal="center"/>
      <protection hidden="1"/>
    </xf>
    <xf numFmtId="9" fontId="3" fillId="2" borderId="57" xfId="2" applyFont="1" applyFill="1" applyBorder="1" applyAlignment="1" applyProtection="1">
      <alignment horizontal="center"/>
      <protection hidden="1"/>
    </xf>
    <xf numFmtId="9" fontId="0" fillId="2" borderId="49" xfId="2" applyFont="1" applyFill="1" applyBorder="1" applyAlignment="1" applyProtection="1">
      <alignment horizontal="center"/>
      <protection hidden="1"/>
    </xf>
    <xf numFmtId="9" fontId="0" fillId="2" borderId="58" xfId="2" applyFont="1" applyFill="1" applyBorder="1" applyAlignment="1" applyProtection="1">
      <alignment horizontal="center"/>
      <protection hidden="1"/>
    </xf>
    <xf numFmtId="9" fontId="0" fillId="2" borderId="59" xfId="2" applyFont="1" applyFill="1" applyBorder="1" applyAlignment="1" applyProtection="1">
      <alignment horizontal="center"/>
      <protection hidden="1"/>
    </xf>
    <xf numFmtId="9" fontId="2" fillId="7" borderId="53" xfId="2" applyFont="1" applyFill="1" applyBorder="1" applyAlignment="1" applyProtection="1">
      <alignment horizontal="center" vertical="center"/>
      <protection hidden="1"/>
    </xf>
    <xf numFmtId="9" fontId="2" fillId="2" borderId="53" xfId="2" applyFont="1" applyFill="1" applyBorder="1" applyAlignment="1" applyProtection="1">
      <alignment horizontal="center" vertical="center"/>
      <protection hidden="1"/>
    </xf>
    <xf numFmtId="9" fontId="25" fillId="2" borderId="71" xfId="2" applyFont="1" applyFill="1" applyBorder="1" applyAlignment="1" applyProtection="1">
      <alignment horizontal="center"/>
      <protection hidden="1"/>
    </xf>
    <xf numFmtId="9" fontId="25" fillId="2" borderId="74" xfId="2" applyFont="1" applyFill="1" applyBorder="1" applyAlignment="1" applyProtection="1">
      <alignment horizontal="center"/>
      <protection hidden="1"/>
    </xf>
    <xf numFmtId="9" fontId="25" fillId="2" borderId="77" xfId="2" applyFont="1" applyFill="1" applyBorder="1" applyAlignment="1" applyProtection="1">
      <alignment horizontal="center"/>
      <protection hidden="1"/>
    </xf>
    <xf numFmtId="9" fontId="2" fillId="7" borderId="83" xfId="2" applyFont="1" applyFill="1" applyBorder="1" applyAlignment="1" applyProtection="1">
      <alignment horizontal="center" vertical="center"/>
      <protection hidden="1"/>
    </xf>
    <xf numFmtId="9" fontId="24" fillId="2" borderId="71" xfId="2" applyFont="1" applyFill="1" applyBorder="1" applyAlignment="1" applyProtection="1">
      <alignment horizontal="center" vertical="center"/>
      <protection hidden="1"/>
    </xf>
    <xf numFmtId="9" fontId="27" fillId="2" borderId="86" xfId="2" applyFont="1" applyFill="1" applyBorder="1" applyAlignment="1" applyProtection="1">
      <alignment horizontal="center" vertical="center"/>
      <protection hidden="1"/>
    </xf>
    <xf numFmtId="9" fontId="24" fillId="2" borderId="86" xfId="2" applyFont="1" applyFill="1" applyBorder="1" applyAlignment="1" applyProtection="1">
      <alignment horizontal="center" vertical="center"/>
      <protection hidden="1"/>
    </xf>
    <xf numFmtId="9" fontId="24" fillId="2" borderId="74" xfId="2" applyFont="1" applyFill="1" applyBorder="1" applyAlignment="1" applyProtection="1">
      <alignment horizontal="center" vertical="center"/>
      <protection hidden="1"/>
    </xf>
    <xf numFmtId="9" fontId="24" fillId="2" borderId="77" xfId="2" applyFont="1" applyFill="1" applyBorder="1" applyAlignment="1" applyProtection="1">
      <alignment horizontal="center" vertical="center"/>
      <protection hidden="1"/>
    </xf>
    <xf numFmtId="9" fontId="0" fillId="2" borderId="32" xfId="2" applyFont="1" applyFill="1" applyBorder="1" applyAlignment="1" applyProtection="1">
      <alignment horizontal="center"/>
      <protection hidden="1"/>
    </xf>
    <xf numFmtId="9" fontId="0" fillId="2" borderId="0" xfId="2" applyFont="1" applyFill="1" applyBorder="1" applyProtection="1">
      <protection hidden="1"/>
    </xf>
    <xf numFmtId="9" fontId="0" fillId="2" borderId="18" xfId="2" applyFont="1" applyFill="1" applyBorder="1" applyProtection="1">
      <protection hidden="1"/>
    </xf>
    <xf numFmtId="9" fontId="22" fillId="2" borderId="53" xfId="2" applyFont="1" applyFill="1" applyBorder="1" applyAlignment="1" applyProtection="1">
      <alignment horizontal="center"/>
      <protection hidden="1"/>
    </xf>
    <xf numFmtId="9" fontId="22" fillId="2" borderId="61" xfId="2" applyFont="1" applyFill="1" applyBorder="1" applyProtection="1">
      <protection hidden="1"/>
    </xf>
    <xf numFmtId="9" fontId="22" fillId="2" borderId="80" xfId="2" applyFont="1" applyFill="1" applyBorder="1" applyProtection="1">
      <protection hidden="1"/>
    </xf>
    <xf numFmtId="9" fontId="0" fillId="2" borderId="8" xfId="2" applyFont="1" applyFill="1" applyBorder="1" applyProtection="1">
      <protection hidden="1"/>
    </xf>
    <xf numFmtId="9" fontId="9" fillId="2" borderId="0" xfId="2" applyFont="1" applyFill="1" applyBorder="1" applyProtection="1">
      <protection hidden="1"/>
    </xf>
    <xf numFmtId="9" fontId="9" fillId="2" borderId="1" xfId="2" applyFont="1" applyFill="1" applyBorder="1" applyProtection="1">
      <protection hidden="1"/>
    </xf>
    <xf numFmtId="168" fontId="22" fillId="7" borderId="33" xfId="0" applyNumberFormat="1" applyFont="1" applyFill="1" applyBorder="1" applyAlignment="1" applyProtection="1">
      <alignment vertical="center"/>
      <protection hidden="1"/>
    </xf>
    <xf numFmtId="168" fontId="0" fillId="2" borderId="41" xfId="0" applyNumberFormat="1" applyFill="1" applyBorder="1"/>
    <xf numFmtId="168" fontId="0" fillId="2" borderId="43" xfId="0" applyNumberFormat="1" applyFill="1" applyBorder="1"/>
    <xf numFmtId="168" fontId="0" fillId="0" borderId="43" xfId="0" applyNumberFormat="1" applyFill="1" applyBorder="1"/>
    <xf numFmtId="168" fontId="0" fillId="0" borderId="44" xfId="0" applyNumberFormat="1" applyFill="1" applyBorder="1"/>
    <xf numFmtId="9" fontId="2" fillId="7" borderId="53" xfId="2" quotePrefix="1" applyFont="1" applyFill="1" applyBorder="1" applyAlignment="1" applyProtection="1">
      <alignment horizontal="center" vertical="center"/>
      <protection hidden="1"/>
    </xf>
    <xf numFmtId="168" fontId="0" fillId="0" borderId="19" xfId="0" applyNumberFormat="1" applyFill="1" applyBorder="1" applyProtection="1">
      <protection hidden="1"/>
    </xf>
    <xf numFmtId="168" fontId="0" fillId="7" borderId="19" xfId="0" applyNumberFormat="1" applyFill="1" applyBorder="1" applyProtection="1">
      <protection hidden="1"/>
    </xf>
    <xf numFmtId="168" fontId="0" fillId="7" borderId="20" xfId="0" applyNumberFormat="1" applyFill="1" applyBorder="1" applyProtection="1">
      <protection hidden="1"/>
    </xf>
    <xf numFmtId="168" fontId="0" fillId="7" borderId="21" xfId="0" applyNumberFormat="1" applyFill="1" applyBorder="1" applyProtection="1">
      <protection hidden="1"/>
    </xf>
    <xf numFmtId="168" fontId="0" fillId="0" borderId="0" xfId="0" applyNumberFormat="1" applyFill="1" applyBorder="1" applyProtection="1">
      <protection hidden="1"/>
    </xf>
    <xf numFmtId="0" fontId="0" fillId="7" borderId="0" xfId="0" applyFill="1" applyBorder="1" applyProtection="1">
      <protection hidden="1"/>
    </xf>
    <xf numFmtId="0" fontId="0" fillId="3" borderId="23" xfId="0" applyFill="1" applyBorder="1" applyAlignment="1">
      <alignment vertical="center" textRotation="90"/>
    </xf>
    <xf numFmtId="0" fontId="2" fillId="12" borderId="3" xfId="0" applyFont="1" applyFill="1" applyBorder="1"/>
    <xf numFmtId="0" fontId="2" fillId="2" borderId="49" xfId="0" applyFont="1" applyFill="1" applyBorder="1" applyAlignment="1" applyProtection="1">
      <alignment horizontal="center" vertical="center" wrapText="1"/>
      <protection hidden="1"/>
    </xf>
    <xf numFmtId="168" fontId="25" fillId="2" borderId="84" xfId="3" applyNumberFormat="1" applyFont="1" applyFill="1" applyBorder="1" applyAlignment="1" applyProtection="1">
      <alignment horizontal="center"/>
      <protection hidden="1"/>
    </xf>
    <xf numFmtId="168" fontId="0" fillId="0" borderId="50" xfId="3" applyNumberFormat="1" applyFont="1" applyFill="1" applyBorder="1" applyAlignment="1" applyProtection="1">
      <alignment horizontal="center" vertical="center"/>
      <protection hidden="1"/>
    </xf>
    <xf numFmtId="168" fontId="0" fillId="0" borderId="88" xfId="3" applyNumberFormat="1" applyFont="1" applyFill="1" applyBorder="1" applyAlignment="1" applyProtection="1">
      <alignment horizontal="center" vertical="center"/>
      <protection hidden="1"/>
    </xf>
    <xf numFmtId="168" fontId="25" fillId="0" borderId="28" xfId="3" applyNumberFormat="1" applyFont="1" applyFill="1" applyBorder="1" applyAlignment="1" applyProtection="1">
      <alignment horizontal="center"/>
      <protection hidden="1"/>
    </xf>
    <xf numFmtId="168" fontId="2" fillId="0" borderId="23" xfId="3" applyNumberFormat="1" applyFont="1" applyFill="1" applyBorder="1" applyAlignment="1" applyProtection="1">
      <alignment horizontal="center" vertical="center"/>
      <protection hidden="1"/>
    </xf>
    <xf numFmtId="168" fontId="25" fillId="0" borderId="23" xfId="3" applyNumberFormat="1" applyFont="1" applyFill="1" applyBorder="1" applyAlignment="1" applyProtection="1">
      <alignment horizontal="center"/>
      <protection hidden="1"/>
    </xf>
    <xf numFmtId="0" fontId="28" fillId="2" borderId="0" xfId="0" applyFont="1" applyFill="1" applyProtection="1">
      <protection hidden="1"/>
    </xf>
    <xf numFmtId="0" fontId="21" fillId="7" borderId="10" xfId="0" applyFont="1" applyFill="1" applyBorder="1" applyAlignment="1">
      <alignment horizontal="center"/>
    </xf>
    <xf numFmtId="165" fontId="2" fillId="4" borderId="40" xfId="1" applyFont="1" applyFill="1" applyBorder="1"/>
    <xf numFmtId="165" fontId="2" fillId="4" borderId="1" xfId="1" applyFont="1" applyFill="1" applyBorder="1"/>
    <xf numFmtId="168" fontId="2" fillId="4" borderId="6" xfId="0" applyNumberFormat="1" applyFont="1" applyFill="1" applyBorder="1"/>
    <xf numFmtId="165" fontId="0" fillId="0" borderId="48" xfId="1" applyFont="1" applyFill="1" applyBorder="1"/>
    <xf numFmtId="165" fontId="0" fillId="0" borderId="47" xfId="1" applyFont="1" applyFill="1" applyBorder="1"/>
    <xf numFmtId="0" fontId="22" fillId="2" borderId="0" xfId="0" applyFont="1" applyFill="1"/>
    <xf numFmtId="9" fontId="0" fillId="2" borderId="5" xfId="0" applyNumberFormat="1" applyFill="1" applyBorder="1" applyProtection="1">
      <protection hidden="1"/>
    </xf>
    <xf numFmtId="165" fontId="0" fillId="2" borderId="0" xfId="1" applyFont="1" applyFill="1" applyBorder="1" applyAlignment="1">
      <alignment horizontal="left"/>
    </xf>
    <xf numFmtId="169" fontId="0" fillId="5" borderId="7" xfId="3" applyNumberFormat="1" applyFont="1" applyFill="1" applyBorder="1" applyAlignment="1" applyProtection="1">
      <alignment horizontal="right"/>
      <protection locked="0"/>
    </xf>
    <xf numFmtId="0" fontId="29" fillId="0" borderId="0" xfId="0" applyFont="1" applyFill="1"/>
    <xf numFmtId="169" fontId="0" fillId="5" borderId="15" xfId="3" applyNumberFormat="1" applyFont="1" applyFill="1" applyBorder="1" applyAlignment="1" applyProtection="1">
      <alignment horizontal="right"/>
      <protection locked="0"/>
    </xf>
    <xf numFmtId="9" fontId="29" fillId="5" borderId="7" xfId="2" applyFont="1" applyFill="1" applyBorder="1" applyAlignment="1" applyProtection="1">
      <alignment horizontal="center"/>
      <protection locked="0"/>
    </xf>
    <xf numFmtId="169" fontId="0" fillId="7" borderId="7" xfId="3" applyNumberFormat="1" applyFont="1" applyFill="1" applyBorder="1" applyAlignment="1" applyProtection="1">
      <alignment horizontal="right"/>
    </xf>
    <xf numFmtId="169" fontId="2" fillId="7" borderId="7" xfId="3" applyNumberFormat="1" applyFont="1" applyFill="1" applyBorder="1" applyAlignment="1" applyProtection="1">
      <alignment horizontal="right"/>
    </xf>
    <xf numFmtId="14" fontId="0" fillId="2" borderId="0" xfId="0" applyNumberFormat="1" applyFill="1" applyProtection="1">
      <protection hidden="1"/>
    </xf>
    <xf numFmtId="3" fontId="0" fillId="5" borderId="7" xfId="1" applyNumberFormat="1" applyFont="1" applyFill="1" applyBorder="1" applyAlignment="1" applyProtection="1">
      <alignment horizontal="center"/>
      <protection locked="0"/>
    </xf>
    <xf numFmtId="3" fontId="2" fillId="5" borderId="7" xfId="1" applyNumberFormat="1" applyFont="1" applyFill="1" applyBorder="1" applyAlignment="1" applyProtection="1">
      <alignment horizontal="center"/>
      <protection locked="0"/>
    </xf>
    <xf numFmtId="4" fontId="0" fillId="5" borderId="7" xfId="1" applyNumberFormat="1" applyFont="1" applyFill="1" applyBorder="1" applyAlignment="1" applyProtection="1">
      <alignment horizontal="center"/>
      <protection locked="0"/>
    </xf>
    <xf numFmtId="4" fontId="0" fillId="0" borderId="0" xfId="0" applyNumberFormat="1" applyFill="1" applyProtection="1">
      <protection locked="0"/>
    </xf>
    <xf numFmtId="4" fontId="12" fillId="0" borderId="7" xfId="0" applyNumberFormat="1" applyFont="1" applyFill="1" applyBorder="1"/>
    <xf numFmtId="4" fontId="14" fillId="0" borderId="7" xfId="0" applyNumberFormat="1" applyFont="1" applyFill="1" applyBorder="1"/>
    <xf numFmtId="4" fontId="12" fillId="0" borderId="15" xfId="0" applyNumberFormat="1" applyFont="1" applyFill="1" applyBorder="1"/>
    <xf numFmtId="0" fontId="2" fillId="3" borderId="49" xfId="0" applyFont="1" applyFill="1" applyBorder="1" applyProtection="1">
      <protection hidden="1"/>
    </xf>
    <xf numFmtId="168" fontId="22" fillId="7" borderId="32" xfId="0" applyNumberFormat="1" applyFont="1" applyFill="1" applyBorder="1" applyAlignment="1" applyProtection="1">
      <alignment vertical="center"/>
      <protection hidden="1"/>
    </xf>
    <xf numFmtId="0" fontId="2" fillId="0" borderId="0" xfId="0" applyFont="1" applyFill="1" applyProtection="1">
      <protection hidden="1"/>
    </xf>
    <xf numFmtId="9" fontId="2" fillId="5" borderId="7" xfId="2" applyFont="1" applyFill="1" applyBorder="1" applyAlignment="1" applyProtection="1">
      <alignment horizontal="center"/>
    </xf>
    <xf numFmtId="0" fontId="2" fillId="13" borderId="0" xfId="0" applyFont="1" applyFill="1" applyBorder="1"/>
    <xf numFmtId="0" fontId="2" fillId="2" borderId="0" xfId="0" applyFont="1" applyFill="1" applyBorder="1" applyProtection="1">
      <protection locked="0"/>
    </xf>
    <xf numFmtId="14" fontId="0" fillId="2" borderId="0" xfId="0" applyNumberFormat="1" applyFill="1"/>
    <xf numFmtId="0" fontId="0" fillId="0" borderId="0" xfId="0" pivotButton="1"/>
    <xf numFmtId="0" fontId="0" fillId="0" borderId="0" xfId="0" applyAlignment="1">
      <alignment horizontal="left"/>
    </xf>
    <xf numFmtId="168" fontId="0" fillId="0" borderId="0" xfId="0" applyNumberFormat="1"/>
    <xf numFmtId="4" fontId="2" fillId="7" borderId="7" xfId="1" applyNumberFormat="1" applyFont="1" applyFill="1" applyBorder="1" applyAlignment="1" applyProtection="1">
      <alignment horizontal="center"/>
      <protection hidden="1"/>
    </xf>
    <xf numFmtId="0" fontId="0" fillId="14" borderId="0" xfId="0" applyFill="1"/>
    <xf numFmtId="164" fontId="0" fillId="14" borderId="0" xfId="3" applyFont="1" applyFill="1"/>
    <xf numFmtId="164" fontId="0" fillId="14" borderId="0" xfId="0" applyNumberFormat="1" applyFont="1" applyFill="1"/>
    <xf numFmtId="0" fontId="0" fillId="0" borderId="0" xfId="0" applyAlignment="1">
      <alignment horizontal="center" vertical="center" wrapText="1"/>
    </xf>
    <xf numFmtId="9" fontId="0" fillId="0" borderId="0" xfId="0" applyNumberFormat="1" applyAlignment="1">
      <alignment horizontal="center" vertical="center" wrapText="1"/>
    </xf>
    <xf numFmtId="0" fontId="0" fillId="14" borderId="0" xfId="0" applyFill="1" applyAlignment="1">
      <alignment horizontal="center" vertical="center" wrapText="1"/>
    </xf>
    <xf numFmtId="0" fontId="0" fillId="7" borderId="7" xfId="0" applyFill="1" applyBorder="1" applyAlignment="1">
      <alignment horizontal="center" vertical="center" wrapText="1"/>
    </xf>
    <xf numFmtId="164" fontId="0" fillId="3" borderId="7" xfId="3" applyFont="1" applyFill="1" applyBorder="1" applyAlignment="1">
      <alignment horizontal="center" vertical="center" wrapText="1"/>
    </xf>
    <xf numFmtId="164" fontId="0" fillId="0" borderId="0" xfId="3" applyNumberFormat="1" applyFont="1"/>
    <xf numFmtId="0" fontId="2" fillId="2" borderId="3" xfId="0" applyFont="1" applyFill="1" applyBorder="1" applyProtection="1">
      <protection hidden="1"/>
    </xf>
    <xf numFmtId="0" fontId="0" fillId="2" borderId="5" xfId="0" applyFill="1" applyBorder="1" applyProtection="1">
      <protection hidden="1"/>
    </xf>
    <xf numFmtId="0" fontId="0" fillId="2" borderId="5" xfId="0" applyFill="1" applyBorder="1" applyAlignment="1" applyProtection="1">
      <alignment wrapText="1"/>
      <protection hidden="1"/>
    </xf>
    <xf numFmtId="4" fontId="0" fillId="2" borderId="8" xfId="0" applyNumberFormat="1" applyFill="1" applyBorder="1"/>
    <xf numFmtId="4" fontId="0" fillId="2" borderId="8" xfId="0" applyNumberFormat="1" applyFill="1" applyBorder="1" applyAlignment="1">
      <alignment horizontal="right"/>
    </xf>
    <xf numFmtId="4" fontId="0" fillId="2" borderId="0" xfId="0" applyNumberFormat="1" applyFill="1" applyBorder="1" applyAlignment="1">
      <alignment horizontal="right"/>
    </xf>
    <xf numFmtId="4" fontId="0" fillId="2" borderId="1" xfId="0" applyNumberFormat="1" applyFill="1" applyBorder="1" applyAlignment="1">
      <alignment horizontal="right"/>
    </xf>
    <xf numFmtId="0" fontId="0" fillId="2" borderId="0" xfId="0" applyFill="1" applyAlignment="1" applyProtection="1">
      <alignment horizontal="right"/>
      <protection hidden="1"/>
    </xf>
    <xf numFmtId="168" fontId="0" fillId="2" borderId="0" xfId="0" applyNumberFormat="1" applyFill="1" applyBorder="1"/>
    <xf numFmtId="168" fontId="25" fillId="14" borderId="72" xfId="3" applyNumberFormat="1" applyFont="1" applyFill="1" applyBorder="1" applyAlignment="1" applyProtection="1">
      <alignment horizontal="center"/>
      <protection hidden="1"/>
    </xf>
    <xf numFmtId="168" fontId="25" fillId="14" borderId="75" xfId="3" applyNumberFormat="1" applyFont="1" applyFill="1" applyBorder="1" applyAlignment="1" applyProtection="1">
      <alignment horizontal="center"/>
      <protection hidden="1"/>
    </xf>
    <xf numFmtId="0" fontId="31" fillId="2" borderId="0" xfId="0" applyFont="1" applyFill="1" applyProtection="1">
      <protection hidden="1"/>
    </xf>
    <xf numFmtId="168" fontId="2" fillId="2" borderId="33" xfId="3" applyNumberFormat="1" applyFont="1" applyFill="1" applyBorder="1" applyAlignment="1" applyProtection="1">
      <alignment horizontal="center" vertical="center"/>
      <protection hidden="1"/>
    </xf>
    <xf numFmtId="0" fontId="0" fillId="0" borderId="6" xfId="0" applyFill="1" applyBorder="1"/>
    <xf numFmtId="168" fontId="0" fillId="2" borderId="1" xfId="3" applyNumberFormat="1" applyFont="1" applyFill="1" applyBorder="1"/>
    <xf numFmtId="0" fontId="22" fillId="2" borderId="0" xfId="0" applyFont="1" applyFill="1" applyBorder="1" applyAlignment="1" applyProtection="1">
      <alignment horizontal="right"/>
      <protection hidden="1"/>
    </xf>
    <xf numFmtId="168" fontId="22" fillId="2" borderId="0" xfId="3" applyNumberFormat="1" applyFont="1" applyFill="1" applyBorder="1" applyProtection="1">
      <protection hidden="1"/>
    </xf>
    <xf numFmtId="44" fontId="0" fillId="0" borderId="0" xfId="0" applyNumberFormat="1"/>
    <xf numFmtId="165" fontId="0" fillId="2" borderId="40" xfId="1" applyFont="1" applyFill="1" applyBorder="1"/>
    <xf numFmtId="164" fontId="0" fillId="2" borderId="21" xfId="3" applyFont="1" applyFill="1" applyBorder="1"/>
    <xf numFmtId="166" fontId="0" fillId="0" borderId="0" xfId="2" applyNumberFormat="1" applyFont="1"/>
    <xf numFmtId="0" fontId="0" fillId="15" borderId="0" xfId="0" applyFill="1"/>
    <xf numFmtId="164" fontId="0" fillId="15" borderId="20" xfId="3" applyFont="1" applyFill="1" applyBorder="1"/>
    <xf numFmtId="0" fontId="22" fillId="3" borderId="52" xfId="0" applyFont="1" applyFill="1" applyBorder="1" applyAlignment="1" applyProtection="1">
      <alignment horizontal="center"/>
      <protection hidden="1"/>
    </xf>
    <xf numFmtId="0" fontId="22" fillId="3" borderId="53" xfId="0" applyFont="1" applyFill="1" applyBorder="1" applyAlignment="1" applyProtection="1">
      <alignment horizontal="center"/>
      <protection hidden="1"/>
    </xf>
    <xf numFmtId="0" fontId="22" fillId="3" borderId="54" xfId="0" applyFont="1" applyFill="1" applyBorder="1" applyAlignment="1" applyProtection="1">
      <alignment horizontal="center"/>
      <protection hidden="1"/>
    </xf>
    <xf numFmtId="0" fontId="22" fillId="7" borderId="31" xfId="0" applyFont="1" applyFill="1" applyBorder="1" applyAlignment="1" applyProtection="1">
      <alignment horizontal="right" vertical="center"/>
      <protection hidden="1"/>
    </xf>
    <xf numFmtId="0" fontId="12" fillId="0" borderId="7" xfId="0" applyFont="1" applyFill="1" applyBorder="1"/>
    <xf numFmtId="0" fontId="0" fillId="2" borderId="7" xfId="0" applyFill="1" applyBorder="1" applyProtection="1">
      <protection hidden="1"/>
    </xf>
    <xf numFmtId="0" fontId="12" fillId="0" borderId="7" xfId="0" applyFont="1" applyFill="1" applyBorder="1" applyAlignment="1">
      <alignment horizontal="right"/>
    </xf>
    <xf numFmtId="0" fontId="12" fillId="0" borderId="7" xfId="0" applyFont="1" applyFill="1" applyBorder="1" applyAlignment="1">
      <alignment vertical="top" wrapText="1"/>
    </xf>
    <xf numFmtId="0" fontId="12" fillId="0" borderId="7" xfId="0" applyFont="1" applyFill="1" applyBorder="1" applyAlignment="1">
      <alignment vertical="top"/>
    </xf>
    <xf numFmtId="4" fontId="12" fillId="0" borderId="7" xfId="0" applyNumberFormat="1" applyFont="1" applyFill="1" applyBorder="1" applyAlignment="1">
      <alignment vertical="top"/>
    </xf>
    <xf numFmtId="0" fontId="14" fillId="0" borderId="7" xfId="0" applyFont="1" applyFill="1" applyBorder="1"/>
    <xf numFmtId="10" fontId="14" fillId="0" borderId="7" xfId="0" applyNumberFormat="1" applyFont="1" applyFill="1" applyBorder="1" applyAlignment="1">
      <alignment horizontal="right"/>
    </xf>
    <xf numFmtId="0" fontId="14" fillId="0" borderId="7" xfId="0" applyFont="1" applyFill="1" applyBorder="1" applyAlignment="1">
      <alignment vertical="top" wrapText="1"/>
    </xf>
    <xf numFmtId="4" fontId="14" fillId="0" borderId="7" xfId="0" applyNumberFormat="1" applyFont="1" applyFill="1" applyBorder="1" applyAlignment="1">
      <alignment vertical="top" wrapText="1"/>
    </xf>
    <xf numFmtId="0" fontId="12" fillId="0" borderId="15" xfId="0" applyFont="1" applyFill="1" applyBorder="1"/>
    <xf numFmtId="0" fontId="11" fillId="0" borderId="31" xfId="0" applyFont="1" applyFill="1" applyBorder="1" applyAlignment="1">
      <alignment horizontal="center" vertical="center"/>
    </xf>
    <xf numFmtId="0" fontId="14" fillId="0" borderId="15" xfId="0" applyFont="1" applyFill="1" applyBorder="1" applyAlignment="1">
      <alignment vertical="top" wrapText="1"/>
    </xf>
    <xf numFmtId="4" fontId="14" fillId="0" borderId="15" xfId="0" applyNumberFormat="1" applyFont="1" applyFill="1" applyBorder="1" applyAlignment="1">
      <alignment vertical="top" wrapText="1"/>
    </xf>
    <xf numFmtId="0" fontId="15" fillId="0" borderId="100" xfId="0" applyFont="1" applyFill="1" applyBorder="1"/>
    <xf numFmtId="4" fontId="15" fillId="0" borderId="100" xfId="0" applyNumberFormat="1" applyFont="1" applyFill="1" applyBorder="1"/>
    <xf numFmtId="4" fontId="15" fillId="0" borderId="101" xfId="0" applyNumberFormat="1" applyFont="1" applyFill="1" applyBorder="1"/>
    <xf numFmtId="0" fontId="12" fillId="0" borderId="13" xfId="0" applyFont="1" applyFill="1" applyBorder="1"/>
    <xf numFmtId="0" fontId="0" fillId="0" borderId="13" xfId="0" applyBorder="1"/>
    <xf numFmtId="4" fontId="12" fillId="0" borderId="13" xfId="0" applyNumberFormat="1" applyFont="1" applyFill="1" applyBorder="1"/>
    <xf numFmtId="0" fontId="15" fillId="0" borderId="99" xfId="0" applyFont="1" applyFill="1" applyBorder="1" applyAlignment="1">
      <alignment horizontal="right"/>
    </xf>
    <xf numFmtId="0" fontId="15" fillId="0" borderId="100" xfId="0" applyFont="1" applyFill="1" applyBorder="1" applyAlignment="1">
      <alignment horizontal="right"/>
    </xf>
    <xf numFmtId="4" fontId="15" fillId="0" borderId="100" xfId="0" applyNumberFormat="1" applyFont="1" applyFill="1" applyBorder="1" applyAlignment="1">
      <alignment horizontal="right"/>
    </xf>
    <xf numFmtId="4" fontId="15" fillId="0" borderId="100" xfId="0" applyNumberFormat="1" applyFont="1" applyFill="1" applyBorder="1" applyAlignment="1">
      <alignment horizontal="right" vertical="top"/>
    </xf>
    <xf numFmtId="4" fontId="15" fillId="0" borderId="101" xfId="0" applyNumberFormat="1" applyFont="1" applyFill="1" applyBorder="1" applyAlignment="1">
      <alignment horizontal="right" vertical="top"/>
    </xf>
    <xf numFmtId="0" fontId="12" fillId="0" borderId="14" xfId="0" applyFont="1" applyFill="1" applyBorder="1"/>
    <xf numFmtId="0" fontId="12" fillId="0" borderId="14" xfId="0" applyFont="1" applyFill="1" applyBorder="1" applyAlignment="1">
      <alignment horizontal="center"/>
    </xf>
    <xf numFmtId="0" fontId="12" fillId="0" borderId="14" xfId="0" applyNumberFormat="1" applyFont="1" applyFill="1" applyBorder="1" applyAlignment="1">
      <alignment horizontal="center"/>
    </xf>
    <xf numFmtId="4" fontId="12" fillId="0" borderId="14" xfId="0" applyNumberFormat="1" applyFont="1" applyFill="1" applyBorder="1" applyAlignment="1">
      <alignment horizontal="center"/>
    </xf>
    <xf numFmtId="0" fontId="11" fillId="0" borderId="99" xfId="0" applyFont="1" applyFill="1" applyBorder="1"/>
    <xf numFmtId="4" fontId="11" fillId="0" borderId="100" xfId="0" applyNumberFormat="1" applyFont="1" applyFill="1" applyBorder="1"/>
    <xf numFmtId="4" fontId="11" fillId="0" borderId="101" xfId="0" applyNumberFormat="1" applyFont="1" applyFill="1" applyBorder="1"/>
    <xf numFmtId="0" fontId="12" fillId="0" borderId="99" xfId="0" applyFont="1" applyFill="1" applyBorder="1"/>
    <xf numFmtId="0" fontId="12" fillId="0" borderId="100" xfId="0" applyFont="1" applyFill="1" applyBorder="1"/>
    <xf numFmtId="4" fontId="12" fillId="0" borderId="100" xfId="0" applyNumberFormat="1" applyFont="1" applyFill="1" applyBorder="1"/>
    <xf numFmtId="165" fontId="0" fillId="5" borderId="7" xfId="1" applyFont="1" applyFill="1" applyBorder="1" applyAlignment="1" applyProtection="1">
      <alignment horizontal="center"/>
      <protection locked="0" hidden="1"/>
    </xf>
    <xf numFmtId="4" fontId="0" fillId="5" borderId="7" xfId="1" applyNumberFormat="1" applyFont="1" applyFill="1" applyBorder="1" applyAlignment="1" applyProtection="1">
      <alignment horizontal="center"/>
      <protection locked="0" hidden="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2" fillId="2" borderId="0" xfId="0" applyFont="1" applyFill="1" applyAlignment="1" applyProtection="1">
      <protection hidden="1"/>
    </xf>
    <xf numFmtId="14" fontId="2" fillId="2" borderId="1" xfId="0" applyNumberFormat="1" applyFont="1" applyFill="1" applyBorder="1" applyProtection="1">
      <protection locked="0"/>
    </xf>
    <xf numFmtId="0" fontId="0" fillId="4" borderId="19" xfId="0" applyFill="1" applyBorder="1" applyProtection="1">
      <protection hidden="1"/>
    </xf>
    <xf numFmtId="0" fontId="0" fillId="4" borderId="20" xfId="0" applyFill="1" applyBorder="1" applyProtection="1">
      <protection hidden="1"/>
    </xf>
    <xf numFmtId="0" fontId="0" fillId="4" borderId="21" xfId="0" applyFill="1" applyBorder="1" applyProtection="1">
      <protection hidden="1"/>
    </xf>
    <xf numFmtId="0" fontId="2" fillId="2" borderId="28" xfId="0" applyFont="1" applyFill="1" applyBorder="1" applyAlignment="1">
      <alignment horizontal="right"/>
    </xf>
    <xf numFmtId="0" fontId="2" fillId="2" borderId="30" xfId="0" applyFont="1" applyFill="1" applyBorder="1" applyAlignment="1">
      <alignment horizontal="left"/>
    </xf>
    <xf numFmtId="0" fontId="0" fillId="2" borderId="23" xfId="0" applyFill="1" applyBorder="1"/>
    <xf numFmtId="164" fontId="0" fillId="2" borderId="24" xfId="0" applyNumberFormat="1" applyFill="1" applyBorder="1"/>
    <xf numFmtId="0" fontId="0" fillId="2" borderId="25" xfId="0" applyFill="1" applyBorder="1"/>
    <xf numFmtId="164" fontId="0" fillId="2" borderId="26" xfId="0" applyNumberFormat="1" applyFill="1" applyBorder="1"/>
    <xf numFmtId="165" fontId="0" fillId="3" borderId="38" xfId="1" applyFont="1" applyFill="1" applyBorder="1"/>
    <xf numFmtId="165" fontId="0" fillId="3" borderId="39" xfId="0" applyNumberFormat="1" applyFill="1" applyBorder="1"/>
    <xf numFmtId="170" fontId="0" fillId="2" borderId="0" xfId="0" applyNumberFormat="1" applyFill="1" applyBorder="1"/>
    <xf numFmtId="0" fontId="22" fillId="2" borderId="0" xfId="0" applyFont="1" applyFill="1" applyProtection="1">
      <protection hidden="1"/>
    </xf>
    <xf numFmtId="0" fontId="22" fillId="2" borderId="0" xfId="0" applyFont="1" applyFill="1" applyAlignment="1" applyProtection="1">
      <alignment horizontal="left"/>
      <protection hidden="1"/>
    </xf>
    <xf numFmtId="0" fontId="9" fillId="2" borderId="50" xfId="0" applyFont="1" applyFill="1" applyBorder="1" applyProtection="1">
      <protection hidden="1"/>
    </xf>
    <xf numFmtId="0" fontId="22" fillId="2" borderId="49" xfId="0" applyFont="1" applyFill="1" applyBorder="1" applyAlignment="1" applyProtection="1">
      <alignment horizontal="center"/>
      <protection hidden="1"/>
    </xf>
    <xf numFmtId="0" fontId="9" fillId="2" borderId="51" xfId="0" applyFont="1" applyFill="1" applyBorder="1" applyProtection="1">
      <protection hidden="1"/>
    </xf>
    <xf numFmtId="0" fontId="9" fillId="2" borderId="51" xfId="0" applyFont="1" applyFill="1" applyBorder="1" applyAlignment="1" applyProtection="1">
      <alignment horizontal="center"/>
      <protection hidden="1"/>
    </xf>
    <xf numFmtId="0" fontId="22" fillId="2" borderId="55" xfId="0" applyFont="1" applyFill="1" applyBorder="1" applyProtection="1">
      <protection hidden="1"/>
    </xf>
    <xf numFmtId="165" fontId="9" fillId="2" borderId="55" xfId="0" applyNumberFormat="1" applyFont="1" applyFill="1" applyBorder="1" applyProtection="1">
      <protection hidden="1"/>
    </xf>
    <xf numFmtId="0" fontId="33" fillId="2" borderId="55" xfId="0" applyFont="1" applyFill="1" applyBorder="1" applyProtection="1">
      <protection hidden="1"/>
    </xf>
    <xf numFmtId="165" fontId="33" fillId="2" borderId="55" xfId="0" applyNumberFormat="1" applyFont="1" applyFill="1" applyBorder="1" applyProtection="1">
      <protection hidden="1"/>
    </xf>
    <xf numFmtId="0" fontId="9" fillId="2" borderId="56" xfId="0" applyFont="1" applyFill="1" applyBorder="1" applyProtection="1">
      <protection hidden="1"/>
    </xf>
    <xf numFmtId="165" fontId="9" fillId="2" borderId="56" xfId="0" applyNumberFormat="1" applyFont="1" applyFill="1" applyBorder="1" applyProtection="1">
      <protection hidden="1"/>
    </xf>
    <xf numFmtId="0" fontId="33" fillId="2" borderId="57" xfId="0" applyFont="1" applyFill="1" applyBorder="1" applyProtection="1">
      <protection hidden="1"/>
    </xf>
    <xf numFmtId="0" fontId="9" fillId="2" borderId="57" xfId="0" applyFont="1" applyFill="1" applyBorder="1" applyProtection="1">
      <protection hidden="1"/>
    </xf>
    <xf numFmtId="0" fontId="22" fillId="2" borderId="49" xfId="0" applyFont="1" applyFill="1" applyBorder="1" applyProtection="1">
      <protection hidden="1"/>
    </xf>
    <xf numFmtId="165" fontId="22" fillId="2" borderId="49" xfId="1" applyFont="1" applyFill="1" applyBorder="1" applyProtection="1">
      <protection hidden="1"/>
    </xf>
    <xf numFmtId="0" fontId="9" fillId="2" borderId="49" xfId="0" applyFont="1" applyFill="1" applyBorder="1" applyAlignment="1" applyProtection="1">
      <alignment horizontal="center"/>
      <protection hidden="1"/>
    </xf>
    <xf numFmtId="165" fontId="22" fillId="2" borderId="49" xfId="0" applyNumberFormat="1" applyFont="1" applyFill="1" applyBorder="1" applyProtection="1">
      <protection hidden="1"/>
    </xf>
    <xf numFmtId="0" fontId="9" fillId="2" borderId="59" xfId="0" applyFont="1" applyFill="1" applyBorder="1" applyProtection="1">
      <protection hidden="1"/>
    </xf>
    <xf numFmtId="165" fontId="9" fillId="2" borderId="59" xfId="0" applyNumberFormat="1" applyFont="1" applyFill="1" applyBorder="1" applyProtection="1">
      <protection hidden="1"/>
    </xf>
    <xf numFmtId="0" fontId="22" fillId="2" borderId="58" xfId="0" applyFont="1" applyFill="1" applyBorder="1" applyProtection="1">
      <protection hidden="1"/>
    </xf>
    <xf numFmtId="165" fontId="22" fillId="2" borderId="58" xfId="0" applyNumberFormat="1" applyFont="1" applyFill="1" applyBorder="1" applyProtection="1">
      <protection hidden="1"/>
    </xf>
    <xf numFmtId="0" fontId="22" fillId="2" borderId="49" xfId="0" applyFont="1" applyFill="1" applyBorder="1" applyAlignment="1" applyProtection="1">
      <alignment horizontal="center" vertical="center"/>
      <protection hidden="1"/>
    </xf>
    <xf numFmtId="168" fontId="22" fillId="2" borderId="30" xfId="3" applyNumberFormat="1" applyFont="1" applyFill="1" applyBorder="1" applyAlignment="1" applyProtection="1">
      <alignment horizontal="center" vertical="center"/>
      <protection hidden="1"/>
    </xf>
    <xf numFmtId="168" fontId="22" fillId="2" borderId="24" xfId="3" applyNumberFormat="1" applyFont="1" applyFill="1" applyBorder="1" applyAlignment="1" applyProtection="1">
      <alignment horizontal="center" vertical="center"/>
      <protection hidden="1"/>
    </xf>
    <xf numFmtId="168" fontId="9" fillId="2" borderId="24" xfId="3" applyNumberFormat="1" applyFont="1" applyFill="1" applyBorder="1" applyAlignment="1" applyProtection="1">
      <alignment horizontal="center"/>
      <protection hidden="1"/>
    </xf>
    <xf numFmtId="168" fontId="9" fillId="2" borderId="26" xfId="3" applyNumberFormat="1" applyFont="1" applyFill="1" applyBorder="1" applyAlignment="1" applyProtection="1">
      <alignment horizontal="center"/>
      <protection hidden="1"/>
    </xf>
    <xf numFmtId="0" fontId="22" fillId="7" borderId="82" xfId="0" applyFont="1" applyFill="1" applyBorder="1" applyAlignment="1" applyProtection="1">
      <alignment vertical="center"/>
      <protection hidden="1"/>
    </xf>
    <xf numFmtId="168" fontId="22" fillId="7" borderId="83" xfId="3" applyNumberFormat="1" applyFont="1" applyFill="1" applyBorder="1" applyAlignment="1" applyProtection="1">
      <alignment horizontal="center" vertical="center"/>
      <protection hidden="1"/>
    </xf>
    <xf numFmtId="168" fontId="22" fillId="7" borderId="84" xfId="3" applyNumberFormat="1" applyFont="1" applyFill="1" applyBorder="1" applyAlignment="1" applyProtection="1">
      <alignment horizontal="center" vertical="center"/>
      <protection hidden="1"/>
    </xf>
    <xf numFmtId="168" fontId="9" fillId="2" borderId="72" xfId="3" applyNumberFormat="1" applyFont="1" applyFill="1" applyBorder="1" applyAlignment="1" applyProtection="1">
      <alignment horizontal="center"/>
      <protection hidden="1"/>
    </xf>
    <xf numFmtId="168" fontId="9" fillId="2" borderId="78" xfId="3" applyNumberFormat="1" applyFont="1" applyFill="1" applyBorder="1" applyAlignment="1" applyProtection="1">
      <alignment horizontal="center"/>
      <protection hidden="1"/>
    </xf>
    <xf numFmtId="0" fontId="9" fillId="2" borderId="0" xfId="0" applyFont="1" applyFill="1" applyBorder="1" applyAlignment="1" applyProtection="1">
      <alignment vertical="center"/>
      <protection hidden="1"/>
    </xf>
    <xf numFmtId="168" fontId="22" fillId="2" borderId="49" xfId="0" applyNumberFormat="1" applyFont="1" applyFill="1" applyBorder="1" applyAlignment="1" applyProtection="1">
      <alignment horizontal="center"/>
      <protection hidden="1"/>
    </xf>
    <xf numFmtId="168" fontId="33" fillId="2" borderId="71" xfId="3" applyNumberFormat="1" applyFont="1" applyFill="1" applyBorder="1" applyAlignment="1" applyProtection="1">
      <alignment horizontal="center" vertical="center"/>
      <protection hidden="1"/>
    </xf>
    <xf numFmtId="168" fontId="33" fillId="2" borderId="72" xfId="3" applyNumberFormat="1" applyFont="1" applyFill="1" applyBorder="1" applyAlignment="1" applyProtection="1">
      <alignment horizontal="center" vertical="center"/>
      <protection hidden="1"/>
    </xf>
    <xf numFmtId="168" fontId="33" fillId="2" borderId="87" xfId="3" applyNumberFormat="1" applyFont="1" applyFill="1" applyBorder="1" applyAlignment="1" applyProtection="1">
      <alignment horizontal="center" vertical="center"/>
      <protection hidden="1"/>
    </xf>
    <xf numFmtId="0" fontId="33" fillId="2" borderId="73" xfId="0" applyFont="1" applyFill="1" applyBorder="1" applyAlignment="1" applyProtection="1">
      <alignment vertical="center"/>
      <protection hidden="1"/>
    </xf>
    <xf numFmtId="168" fontId="33" fillId="2" borderId="74" xfId="3" applyNumberFormat="1" applyFont="1" applyFill="1" applyBorder="1" applyAlignment="1" applyProtection="1">
      <alignment horizontal="center" vertical="center"/>
      <protection hidden="1"/>
    </xf>
    <xf numFmtId="168" fontId="33" fillId="2" borderId="75" xfId="3" applyNumberFormat="1" applyFont="1" applyFill="1" applyBorder="1" applyAlignment="1" applyProtection="1">
      <alignment horizontal="center" vertical="center"/>
      <protection hidden="1"/>
    </xf>
    <xf numFmtId="0" fontId="33" fillId="2" borderId="76" xfId="0" applyFont="1" applyFill="1" applyBorder="1" applyAlignment="1" applyProtection="1">
      <alignment vertical="center"/>
      <protection hidden="1"/>
    </xf>
    <xf numFmtId="168" fontId="33" fillId="2" borderId="77" xfId="3" applyNumberFormat="1" applyFont="1" applyFill="1" applyBorder="1" applyAlignment="1" applyProtection="1">
      <alignment horizontal="center" vertical="center"/>
      <protection hidden="1"/>
    </xf>
    <xf numFmtId="168" fontId="33" fillId="2" borderId="78" xfId="3" applyNumberFormat="1" applyFont="1" applyFill="1" applyBorder="1" applyAlignment="1" applyProtection="1">
      <alignment horizontal="center" vertical="center"/>
      <protection hidden="1"/>
    </xf>
    <xf numFmtId="0" fontId="33" fillId="2" borderId="31" xfId="0" applyFont="1" applyFill="1" applyBorder="1" applyProtection="1">
      <protection hidden="1"/>
    </xf>
    <xf numFmtId="0" fontId="34" fillId="2" borderId="53" xfId="0" applyFont="1" applyFill="1" applyBorder="1" applyAlignment="1" applyProtection="1">
      <alignment horizontal="center"/>
      <protection hidden="1"/>
    </xf>
    <xf numFmtId="0" fontId="33" fillId="2" borderId="32" xfId="0" applyFont="1" applyFill="1" applyBorder="1" applyAlignment="1" applyProtection="1">
      <alignment horizontal="center"/>
      <protection hidden="1"/>
    </xf>
    <xf numFmtId="0" fontId="34" fillId="2" borderId="33" xfId="0" applyFont="1" applyFill="1" applyBorder="1" applyAlignment="1" applyProtection="1">
      <alignment horizontal="center"/>
      <protection hidden="1"/>
    </xf>
    <xf numFmtId="0" fontId="33" fillId="2" borderId="23" xfId="0" applyFont="1" applyFill="1" applyBorder="1" applyProtection="1">
      <protection hidden="1"/>
    </xf>
    <xf numFmtId="165" fontId="33" fillId="2" borderId="61" xfId="0" applyNumberFormat="1" applyFont="1" applyFill="1" applyBorder="1" applyProtection="1">
      <protection hidden="1"/>
    </xf>
    <xf numFmtId="0" fontId="33" fillId="2" borderId="0" xfId="0" applyFont="1" applyFill="1" applyBorder="1" applyProtection="1">
      <protection hidden="1"/>
    </xf>
    <xf numFmtId="165" fontId="33" fillId="2" borderId="24" xfId="0" applyNumberFormat="1" applyFont="1" applyFill="1" applyBorder="1" applyProtection="1">
      <protection hidden="1"/>
    </xf>
    <xf numFmtId="0" fontId="34" fillId="2" borderId="63" xfId="0" applyFont="1" applyFill="1" applyBorder="1" applyProtection="1">
      <protection hidden="1"/>
    </xf>
    <xf numFmtId="0" fontId="33" fillId="2" borderId="64" xfId="0" applyFont="1" applyFill="1" applyBorder="1" applyProtection="1">
      <protection hidden="1"/>
    </xf>
    <xf numFmtId="0" fontId="33" fillId="2" borderId="18" xfId="0" applyFont="1" applyFill="1" applyBorder="1" applyProtection="1">
      <protection hidden="1"/>
    </xf>
    <xf numFmtId="165" fontId="34" fillId="2" borderId="65" xfId="0" applyNumberFormat="1" applyFont="1" applyFill="1" applyBorder="1" applyProtection="1">
      <protection hidden="1"/>
    </xf>
    <xf numFmtId="0" fontId="34" fillId="2" borderId="0" xfId="0" applyFont="1" applyFill="1" applyBorder="1" applyProtection="1">
      <protection hidden="1"/>
    </xf>
    <xf numFmtId="165" fontId="34" fillId="2" borderId="0" xfId="0" applyNumberFormat="1" applyFont="1" applyFill="1" applyBorder="1" applyProtection="1">
      <protection hidden="1"/>
    </xf>
    <xf numFmtId="0" fontId="9" fillId="2" borderId="0" xfId="0" applyFont="1" applyFill="1"/>
    <xf numFmtId="0" fontId="34" fillId="2" borderId="49" xfId="0" applyFont="1" applyFill="1" applyBorder="1" applyProtection="1">
      <protection hidden="1"/>
    </xf>
    <xf numFmtId="0" fontId="22" fillId="2" borderId="50" xfId="0" applyFont="1" applyFill="1" applyBorder="1" applyAlignment="1" applyProtection="1">
      <alignment horizontal="center"/>
      <protection hidden="1"/>
    </xf>
    <xf numFmtId="0" fontId="33" fillId="2" borderId="88" xfId="0" applyFont="1" applyFill="1" applyBorder="1" applyAlignment="1" applyProtection="1">
      <alignment horizontal="left" vertical="center" wrapText="1"/>
      <protection hidden="1"/>
    </xf>
    <xf numFmtId="168" fontId="22" fillId="7" borderId="89" xfId="3" applyNumberFormat="1" applyFont="1" applyFill="1" applyBorder="1" applyAlignment="1" applyProtection="1">
      <alignment horizontal="center" vertical="center"/>
      <protection hidden="1"/>
    </xf>
    <xf numFmtId="168" fontId="9" fillId="7" borderId="54" xfId="3" applyNumberFormat="1" applyFont="1" applyFill="1" applyBorder="1" applyAlignment="1" applyProtection="1">
      <alignment horizontal="center" vertical="center"/>
      <protection hidden="1"/>
    </xf>
    <xf numFmtId="0" fontId="33" fillId="2" borderId="0" xfId="0" applyFont="1" applyFill="1" applyBorder="1" applyAlignment="1" applyProtection="1">
      <alignment horizontal="left" vertical="center" wrapText="1"/>
      <protection hidden="1"/>
    </xf>
    <xf numFmtId="168" fontId="22" fillId="2" borderId="0" xfId="3" applyNumberFormat="1" applyFont="1" applyFill="1" applyBorder="1" applyAlignment="1" applyProtection="1">
      <alignment horizontal="center" vertical="center"/>
      <protection hidden="1"/>
    </xf>
    <xf numFmtId="168" fontId="9" fillId="2" borderId="0" xfId="3" applyNumberFormat="1" applyFont="1" applyFill="1" applyBorder="1" applyAlignment="1" applyProtection="1">
      <alignment horizontal="center" vertical="center"/>
      <protection hidden="1"/>
    </xf>
    <xf numFmtId="0" fontId="34" fillId="2" borderId="50" xfId="0" applyFont="1" applyFill="1" applyBorder="1" applyProtection="1">
      <protection hidden="1"/>
    </xf>
    <xf numFmtId="0" fontId="33" fillId="2" borderId="90" xfId="0" applyFont="1" applyFill="1" applyBorder="1" applyAlignment="1" applyProtection="1">
      <alignment wrapText="1"/>
      <protection hidden="1"/>
    </xf>
    <xf numFmtId="168" fontId="22" fillId="7" borderId="91" xfId="3" applyNumberFormat="1" applyFont="1" applyFill="1" applyBorder="1" applyAlignment="1" applyProtection="1">
      <alignment horizontal="center" vertical="center"/>
      <protection hidden="1"/>
    </xf>
    <xf numFmtId="168" fontId="9" fillId="7" borderId="91" xfId="3" applyNumberFormat="1" applyFont="1" applyFill="1" applyBorder="1" applyAlignment="1" applyProtection="1">
      <alignment horizontal="center" vertical="center"/>
      <protection hidden="1"/>
    </xf>
    <xf numFmtId="168" fontId="9" fillId="7" borderId="92" xfId="3" applyNumberFormat="1" applyFont="1" applyFill="1" applyBorder="1" applyAlignment="1" applyProtection="1">
      <alignment horizontal="center" vertical="center"/>
      <protection hidden="1"/>
    </xf>
    <xf numFmtId="0" fontId="33" fillId="2" borderId="96" xfId="0" applyFont="1" applyFill="1" applyBorder="1" applyAlignment="1" applyProtection="1">
      <alignment wrapText="1"/>
      <protection hidden="1"/>
    </xf>
    <xf numFmtId="168" fontId="22" fillId="7" borderId="97" xfId="3" applyNumberFormat="1" applyFont="1" applyFill="1" applyBorder="1" applyAlignment="1" applyProtection="1">
      <alignment horizontal="center" vertical="center"/>
      <protection hidden="1"/>
    </xf>
    <xf numFmtId="168" fontId="9" fillId="7" borderId="97" xfId="3" applyNumberFormat="1" applyFont="1" applyFill="1" applyBorder="1" applyAlignment="1" applyProtection="1">
      <alignment horizontal="center" vertical="center"/>
      <protection hidden="1"/>
    </xf>
    <xf numFmtId="168" fontId="9" fillId="7" borderId="98" xfId="3" applyNumberFormat="1" applyFont="1" applyFill="1" applyBorder="1" applyAlignment="1" applyProtection="1">
      <alignment horizontal="center" vertical="center"/>
      <protection hidden="1"/>
    </xf>
    <xf numFmtId="0" fontId="34" fillId="2" borderId="93" xfId="0" applyFont="1" applyFill="1" applyBorder="1" applyAlignment="1" applyProtection="1">
      <alignment wrapText="1"/>
      <protection hidden="1"/>
    </xf>
    <xf numFmtId="168" fontId="22" fillId="7" borderId="94" xfId="3" applyNumberFormat="1" applyFont="1" applyFill="1" applyBorder="1" applyAlignment="1" applyProtection="1">
      <alignment horizontal="center" vertical="center"/>
      <protection hidden="1"/>
    </xf>
    <xf numFmtId="168" fontId="22" fillId="7" borderId="95" xfId="3" applyNumberFormat="1" applyFont="1" applyFill="1" applyBorder="1" applyAlignment="1" applyProtection="1">
      <alignment horizontal="center" vertical="center"/>
      <protection hidden="1"/>
    </xf>
    <xf numFmtId="0" fontId="34" fillId="2" borderId="0" xfId="0" applyFont="1" applyFill="1" applyBorder="1" applyAlignment="1" applyProtection="1">
      <alignment wrapText="1"/>
      <protection hidden="1"/>
    </xf>
    <xf numFmtId="0" fontId="34" fillId="2" borderId="66" xfId="0" applyFont="1" applyFill="1" applyBorder="1" applyProtection="1">
      <protection hidden="1"/>
    </xf>
    <xf numFmtId="0" fontId="33" fillId="2" borderId="67" xfId="0" applyFont="1" applyFill="1" applyBorder="1" applyProtection="1">
      <protection hidden="1"/>
    </xf>
    <xf numFmtId="0" fontId="33" fillId="2" borderId="68" xfId="0" applyFont="1" applyFill="1" applyBorder="1" applyProtection="1">
      <protection hidden="1"/>
    </xf>
    <xf numFmtId="168" fontId="33" fillId="2" borderId="69" xfId="3" applyNumberFormat="1" applyFont="1" applyFill="1" applyBorder="1" applyProtection="1">
      <protection hidden="1"/>
    </xf>
    <xf numFmtId="164" fontId="33" fillId="2" borderId="0" xfId="3" applyFont="1" applyFill="1" applyBorder="1" applyProtection="1">
      <protection hidden="1"/>
    </xf>
    <xf numFmtId="0" fontId="9" fillId="2" borderId="3" xfId="0" applyFont="1" applyFill="1" applyBorder="1" applyProtection="1">
      <protection hidden="1"/>
    </xf>
    <xf numFmtId="0" fontId="9" fillId="2" borderId="8" xfId="0" applyFont="1" applyFill="1" applyBorder="1" applyProtection="1">
      <protection hidden="1"/>
    </xf>
    <xf numFmtId="0" fontId="9" fillId="2" borderId="38" xfId="0" applyFont="1" applyFill="1" applyBorder="1" applyProtection="1">
      <protection hidden="1"/>
    </xf>
    <xf numFmtId="0" fontId="9" fillId="2" borderId="39" xfId="0" applyFont="1" applyFill="1" applyBorder="1" applyProtection="1">
      <protection hidden="1"/>
    </xf>
    <xf numFmtId="0" fontId="9" fillId="2" borderId="40" xfId="0" applyFont="1" applyFill="1" applyBorder="1" applyProtection="1">
      <protection hidden="1"/>
    </xf>
    <xf numFmtId="168" fontId="30" fillId="7" borderId="54" xfId="3" applyNumberFormat="1" applyFont="1" applyFill="1" applyBorder="1" applyAlignment="1" applyProtection="1">
      <alignment horizontal="center" vertical="center"/>
      <protection hidden="1"/>
    </xf>
    <xf numFmtId="168" fontId="35" fillId="2" borderId="62" xfId="3" applyNumberFormat="1" applyFont="1" applyFill="1" applyBorder="1" applyAlignment="1" applyProtection="1">
      <alignment horizontal="center" vertical="center"/>
      <protection hidden="1"/>
    </xf>
    <xf numFmtId="165" fontId="33" fillId="2" borderId="85" xfId="1" applyFont="1" applyFill="1" applyBorder="1" applyAlignment="1" applyProtection="1">
      <alignment horizontal="left" vertical="center"/>
      <protection hidden="1"/>
    </xf>
    <xf numFmtId="165" fontId="33" fillId="2" borderId="86" xfId="1" applyFont="1" applyFill="1" applyBorder="1" applyAlignment="1" applyProtection="1">
      <alignment horizontal="left" vertical="center"/>
      <protection hidden="1"/>
    </xf>
    <xf numFmtId="0" fontId="34" fillId="2" borderId="70" xfId="0" applyFont="1" applyFill="1" applyBorder="1" applyAlignment="1" applyProtection="1">
      <alignment vertical="center"/>
      <protection hidden="1"/>
    </xf>
    <xf numFmtId="0" fontId="36" fillId="2" borderId="0" xfId="0" applyFont="1" applyFill="1" applyProtection="1">
      <protection hidden="1"/>
    </xf>
    <xf numFmtId="4" fontId="0" fillId="0" borderId="0" xfId="1" applyNumberFormat="1" applyFont="1" applyFill="1" applyProtection="1">
      <protection locked="0"/>
    </xf>
    <xf numFmtId="168" fontId="0" fillId="7" borderId="19" xfId="3" applyNumberFormat="1" applyFont="1" applyFill="1" applyBorder="1" applyProtection="1">
      <protection hidden="1"/>
    </xf>
    <xf numFmtId="168" fontId="0" fillId="7" borderId="20" xfId="3" applyNumberFormat="1" applyFont="1" applyFill="1" applyBorder="1" applyProtection="1">
      <protection hidden="1"/>
    </xf>
    <xf numFmtId="168" fontId="0" fillId="7" borderId="21" xfId="3" applyNumberFormat="1" applyFont="1" applyFill="1" applyBorder="1" applyProtection="1">
      <protection hidden="1"/>
    </xf>
    <xf numFmtId="14" fontId="0" fillId="0" borderId="0" xfId="0" applyNumberFormat="1"/>
    <xf numFmtId="0" fontId="37" fillId="7" borderId="31" xfId="0" applyFont="1" applyFill="1" applyBorder="1" applyAlignment="1" applyProtection="1">
      <alignment horizontal="right" vertical="center"/>
      <protection hidden="1"/>
    </xf>
    <xf numFmtId="0" fontId="37" fillId="7" borderId="32" xfId="0" applyFont="1" applyFill="1" applyBorder="1" applyAlignment="1" applyProtection="1">
      <alignment vertical="center"/>
      <protection hidden="1"/>
    </xf>
    <xf numFmtId="168" fontId="37" fillId="7" borderId="32" xfId="0" applyNumberFormat="1" applyFont="1" applyFill="1" applyBorder="1" applyAlignment="1" applyProtection="1">
      <alignment vertical="center"/>
      <protection hidden="1"/>
    </xf>
    <xf numFmtId="0" fontId="37" fillId="7" borderId="33" xfId="0" applyFont="1" applyFill="1" applyBorder="1" applyAlignment="1" applyProtection="1">
      <alignment vertical="center"/>
      <protection hidden="1"/>
    </xf>
    <xf numFmtId="0" fontId="22" fillId="2" borderId="56" xfId="0" applyFont="1" applyFill="1" applyBorder="1" applyProtection="1">
      <protection hidden="1"/>
    </xf>
    <xf numFmtId="165" fontId="22" fillId="2" borderId="56" xfId="0" applyNumberFormat="1" applyFont="1" applyFill="1" applyBorder="1" applyProtection="1">
      <protection hidden="1"/>
    </xf>
    <xf numFmtId="0" fontId="9" fillId="2" borderId="50" xfId="0" applyFont="1" applyFill="1" applyBorder="1" applyAlignment="1" applyProtection="1">
      <alignment horizontal="center"/>
      <protection hidden="1"/>
    </xf>
    <xf numFmtId="10" fontId="14" fillId="2" borderId="88" xfId="2" applyNumberFormat="1" applyFont="1" applyFill="1" applyBorder="1" applyAlignment="1" applyProtection="1">
      <alignment horizontal="center"/>
      <protection hidden="1"/>
    </xf>
    <xf numFmtId="0" fontId="9" fillId="2" borderId="88" xfId="0" applyFont="1" applyFill="1" applyBorder="1" applyAlignment="1" applyProtection="1">
      <alignment horizontal="center"/>
      <protection hidden="1"/>
    </xf>
    <xf numFmtId="0" fontId="33" fillId="2" borderId="51" xfId="0" applyFont="1" applyFill="1" applyBorder="1" applyProtection="1">
      <protection hidden="1"/>
    </xf>
    <xf numFmtId="165" fontId="33" fillId="2" borderId="51" xfId="1" applyFont="1" applyFill="1" applyBorder="1" applyProtection="1">
      <protection hidden="1"/>
    </xf>
    <xf numFmtId="0" fontId="22" fillId="0" borderId="0" xfId="0" applyFont="1" applyFill="1" applyProtection="1">
      <protection hidden="1"/>
    </xf>
    <xf numFmtId="168" fontId="28" fillId="2" borderId="0" xfId="0" applyNumberFormat="1" applyFont="1" applyFill="1" applyProtection="1">
      <protection hidden="1"/>
    </xf>
    <xf numFmtId="0" fontId="34" fillId="2" borderId="85" xfId="0" applyFont="1" applyFill="1" applyBorder="1" applyAlignment="1" applyProtection="1">
      <alignment horizontal="left" vertical="center" wrapText="1"/>
      <protection hidden="1"/>
    </xf>
    <xf numFmtId="168" fontId="34" fillId="2" borderId="86" xfId="3" applyNumberFormat="1" applyFont="1" applyFill="1" applyBorder="1" applyAlignment="1" applyProtection="1">
      <alignment horizontal="center" vertical="center" wrapText="1"/>
      <protection hidden="1"/>
    </xf>
    <xf numFmtId="0" fontId="30" fillId="7" borderId="31" xfId="0" applyFont="1" applyFill="1" applyBorder="1" applyAlignment="1" applyProtection="1">
      <alignment vertical="center"/>
      <protection hidden="1"/>
    </xf>
    <xf numFmtId="0" fontId="30" fillId="2" borderId="23" xfId="0" applyFont="1" applyFill="1" applyBorder="1" applyAlignment="1" applyProtection="1">
      <alignment horizontal="right" vertical="center"/>
      <protection hidden="1"/>
    </xf>
    <xf numFmtId="0" fontId="22" fillId="2" borderId="31" xfId="0" applyFont="1" applyFill="1" applyBorder="1" applyAlignment="1" applyProtection="1">
      <alignment vertical="center"/>
      <protection hidden="1"/>
    </xf>
    <xf numFmtId="0" fontId="33" fillId="2" borderId="66" xfId="0" applyFont="1" applyFill="1" applyBorder="1" applyProtection="1">
      <protection hidden="1"/>
    </xf>
    <xf numFmtId="0" fontId="33" fillId="2" borderId="102" xfId="0" applyFont="1" applyFill="1" applyBorder="1" applyProtection="1">
      <protection hidden="1"/>
    </xf>
    <xf numFmtId="0" fontId="33" fillId="2" borderId="102" xfId="0" applyFont="1" applyFill="1" applyBorder="1" applyAlignment="1" applyProtection="1">
      <alignment horizontal="right"/>
      <protection hidden="1"/>
    </xf>
    <xf numFmtId="0" fontId="33" fillId="2" borderId="103" xfId="0" applyFont="1" applyFill="1" applyBorder="1" applyAlignment="1" applyProtection="1">
      <alignment horizontal="left"/>
      <protection hidden="1"/>
    </xf>
    <xf numFmtId="0" fontId="33" fillId="2" borderId="104" xfId="0" applyFont="1" applyFill="1" applyBorder="1" applyAlignment="1" applyProtection="1">
      <alignment horizontal="left"/>
      <protection hidden="1"/>
    </xf>
    <xf numFmtId="0" fontId="33" fillId="2" borderId="105" xfId="0" applyFont="1" applyFill="1" applyBorder="1" applyAlignment="1" applyProtection="1">
      <alignment horizontal="left"/>
      <protection hidden="1"/>
    </xf>
    <xf numFmtId="0" fontId="22" fillId="7" borderId="28" xfId="0" applyFont="1" applyFill="1" applyBorder="1" applyAlignment="1" applyProtection="1">
      <alignment vertical="center"/>
      <protection hidden="1"/>
    </xf>
    <xf numFmtId="0" fontId="22" fillId="2" borderId="33" xfId="0" applyFont="1" applyFill="1" applyBorder="1" applyAlignment="1" applyProtection="1">
      <alignment horizontal="center" vertical="center"/>
      <protection hidden="1"/>
    </xf>
    <xf numFmtId="168" fontId="30" fillId="7" borderId="89" xfId="3" applyNumberFormat="1" applyFont="1" applyFill="1" applyBorder="1" applyAlignment="1" applyProtection="1">
      <alignment horizontal="center" vertical="center"/>
      <protection hidden="1"/>
    </xf>
    <xf numFmtId="168" fontId="35" fillId="2" borderId="106" xfId="3" applyNumberFormat="1" applyFont="1" applyFill="1" applyBorder="1" applyAlignment="1" applyProtection="1">
      <alignment horizontal="center" vertical="center"/>
      <protection hidden="1"/>
    </xf>
    <xf numFmtId="168" fontId="22" fillId="2" borderId="29" xfId="3" applyNumberFormat="1" applyFont="1" applyFill="1" applyBorder="1" applyAlignment="1" applyProtection="1">
      <alignment horizontal="center" vertical="center"/>
      <protection hidden="1"/>
    </xf>
    <xf numFmtId="168" fontId="9" fillId="2" borderId="0" xfId="3" applyNumberFormat="1" applyFont="1" applyFill="1" applyBorder="1" applyAlignment="1" applyProtection="1">
      <alignment horizontal="center"/>
      <protection hidden="1"/>
    </xf>
    <xf numFmtId="168" fontId="33" fillId="2" borderId="0" xfId="3" applyNumberFormat="1" applyFont="1" applyFill="1" applyBorder="1" applyAlignment="1" applyProtection="1">
      <alignment horizontal="center"/>
      <protection hidden="1"/>
    </xf>
    <xf numFmtId="168" fontId="9" fillId="2" borderId="16" xfId="3" applyNumberFormat="1" applyFont="1" applyFill="1" applyBorder="1" applyAlignment="1" applyProtection="1">
      <alignment horizontal="center"/>
      <protection hidden="1"/>
    </xf>
    <xf numFmtId="168" fontId="22" fillId="7" borderId="107" xfId="3" applyNumberFormat="1" applyFont="1" applyFill="1" applyBorder="1" applyAlignment="1" applyProtection="1">
      <alignment horizontal="center" vertical="center"/>
      <protection hidden="1"/>
    </xf>
    <xf numFmtId="168" fontId="9" fillId="2" borderId="108" xfId="3" applyNumberFormat="1" applyFont="1" applyFill="1" applyBorder="1" applyAlignment="1" applyProtection="1">
      <alignment horizontal="center"/>
      <protection hidden="1"/>
    </xf>
    <xf numFmtId="168" fontId="9" fillId="2" borderId="109" xfId="3" applyNumberFormat="1" applyFont="1" applyFill="1" applyBorder="1" applyAlignment="1" applyProtection="1">
      <alignment horizontal="center"/>
      <protection hidden="1"/>
    </xf>
    <xf numFmtId="168" fontId="30" fillId="7" borderId="49" xfId="3" applyNumberFormat="1" applyFont="1" applyFill="1" applyBorder="1" applyAlignment="1" applyProtection="1">
      <alignment horizontal="center" vertical="center"/>
      <protection hidden="1"/>
    </xf>
    <xf numFmtId="168" fontId="30" fillId="2" borderId="51" xfId="3" applyNumberFormat="1" applyFont="1" applyFill="1" applyBorder="1" applyAlignment="1" applyProtection="1">
      <alignment horizontal="center" vertical="center"/>
      <protection hidden="1"/>
    </xf>
    <xf numFmtId="168" fontId="22" fillId="2" borderId="49" xfId="3" applyNumberFormat="1" applyFont="1" applyFill="1" applyBorder="1" applyAlignment="1" applyProtection="1">
      <alignment horizontal="center" vertical="center"/>
      <protection hidden="1"/>
    </xf>
    <xf numFmtId="168" fontId="33" fillId="2" borderId="59" xfId="3" applyNumberFormat="1" applyFont="1" applyFill="1" applyBorder="1" applyAlignment="1" applyProtection="1">
      <alignment horizontal="center"/>
      <protection hidden="1"/>
    </xf>
    <xf numFmtId="168" fontId="33" fillId="2" borderId="56" xfId="3" applyNumberFormat="1" applyFont="1" applyFill="1" applyBorder="1" applyAlignment="1" applyProtection="1">
      <alignment horizontal="center"/>
      <protection hidden="1"/>
    </xf>
    <xf numFmtId="168" fontId="33" fillId="2" borderId="58" xfId="3" applyNumberFormat="1" applyFont="1" applyFill="1" applyBorder="1" applyAlignment="1" applyProtection="1">
      <alignment horizontal="center"/>
      <protection hidden="1"/>
    </xf>
    <xf numFmtId="168" fontId="33" fillId="2" borderId="110" xfId="3" applyNumberFormat="1" applyFont="1" applyFill="1" applyBorder="1" applyAlignment="1" applyProtection="1">
      <alignment horizontal="center"/>
      <protection hidden="1"/>
    </xf>
    <xf numFmtId="168" fontId="33" fillId="2" borderId="111" xfId="3" applyNumberFormat="1" applyFont="1" applyFill="1" applyBorder="1" applyAlignment="1" applyProtection="1">
      <alignment horizontal="center"/>
      <protection hidden="1"/>
    </xf>
    <xf numFmtId="168" fontId="33" fillId="2" borderId="112" xfId="3" applyNumberFormat="1" applyFont="1" applyFill="1" applyBorder="1" applyAlignment="1" applyProtection="1">
      <alignment horizontal="center"/>
      <protection hidden="1"/>
    </xf>
    <xf numFmtId="168" fontId="22" fillId="7" borderId="50" xfId="3" applyNumberFormat="1" applyFont="1" applyFill="1" applyBorder="1" applyAlignment="1" applyProtection="1">
      <alignment horizontal="center" vertical="center"/>
      <protection hidden="1"/>
    </xf>
    <xf numFmtId="0" fontId="0" fillId="5" borderId="8" xfId="0" applyFill="1" applyBorder="1" applyProtection="1">
      <protection hidden="1"/>
    </xf>
    <xf numFmtId="0" fontId="0" fillId="5" borderId="0" xfId="0" applyFill="1" applyBorder="1" applyProtection="1">
      <protection hidden="1"/>
    </xf>
    <xf numFmtId="0" fontId="2" fillId="7" borderId="13" xfId="0" applyFont="1" applyFill="1" applyBorder="1" applyAlignment="1" applyProtection="1">
      <alignment horizontal="center"/>
      <protection hidden="1"/>
    </xf>
    <xf numFmtId="164" fontId="0" fillId="7" borderId="20" xfId="3" applyNumberFormat="1" applyFont="1" applyFill="1" applyBorder="1" applyProtection="1">
      <protection hidden="1"/>
    </xf>
    <xf numFmtId="171" fontId="0" fillId="0" borderId="0" xfId="0" applyNumberFormat="1" applyFill="1" applyProtection="1">
      <protection locked="0"/>
    </xf>
    <xf numFmtId="165" fontId="0" fillId="7" borderId="20" xfId="1" applyNumberFormat="1" applyFont="1" applyFill="1" applyBorder="1" applyProtection="1">
      <protection hidden="1"/>
    </xf>
    <xf numFmtId="1" fontId="0" fillId="0" borderId="0" xfId="0" applyNumberFormat="1" applyFill="1" applyBorder="1" applyProtection="1">
      <protection locked="0"/>
    </xf>
    <xf numFmtId="165" fontId="0" fillId="0" borderId="0" xfId="1" applyFont="1" applyFill="1" applyBorder="1" applyProtection="1">
      <protection locked="0"/>
    </xf>
    <xf numFmtId="171" fontId="0" fillId="0" borderId="0" xfId="0" applyNumberFormat="1" applyFill="1" applyBorder="1" applyProtection="1">
      <protection locked="0"/>
    </xf>
    <xf numFmtId="165" fontId="0" fillId="7" borderId="21" xfId="1" applyNumberFormat="1" applyFont="1" applyFill="1" applyBorder="1" applyProtection="1">
      <protection hidden="1"/>
    </xf>
    <xf numFmtId="164" fontId="0" fillId="0" borderId="0" xfId="3" applyFont="1" applyFill="1" applyBorder="1" applyProtection="1">
      <protection locked="0"/>
    </xf>
    <xf numFmtId="164" fontId="0" fillId="7" borderId="21" xfId="3" applyNumberFormat="1" applyFont="1" applyFill="1" applyBorder="1" applyProtection="1">
      <protection hidden="1"/>
    </xf>
    <xf numFmtId="0" fontId="0" fillId="8" borderId="0" xfId="0" applyFill="1" applyBorder="1" applyProtection="1">
      <protection locked="0"/>
    </xf>
    <xf numFmtId="165" fontId="11" fillId="0" borderId="100" xfId="1" applyFont="1" applyFill="1" applyBorder="1"/>
    <xf numFmtId="14" fontId="3" fillId="2" borderId="0" xfId="0" applyNumberFormat="1" applyFont="1" applyFill="1" applyProtection="1">
      <protection hidden="1"/>
    </xf>
    <xf numFmtId="0" fontId="0" fillId="6" borderId="0" xfId="0" applyFill="1" applyProtection="1">
      <protection hidden="1"/>
    </xf>
    <xf numFmtId="0" fontId="0" fillId="6" borderId="7" xfId="0" applyFill="1" applyBorder="1" applyProtection="1">
      <protection hidden="1"/>
    </xf>
    <xf numFmtId="0" fontId="2" fillId="5" borderId="31" xfId="0" applyFont="1" applyFill="1" applyBorder="1" applyAlignment="1" applyProtection="1">
      <alignment horizontal="center"/>
      <protection hidden="1"/>
    </xf>
    <xf numFmtId="0" fontId="2" fillId="5" borderId="32" xfId="0" applyFont="1" applyFill="1" applyBorder="1" applyAlignment="1" applyProtection="1">
      <alignment horizontal="center"/>
      <protection hidden="1"/>
    </xf>
    <xf numFmtId="0" fontId="2" fillId="5" borderId="33" xfId="0" applyFont="1" applyFill="1" applyBorder="1" applyAlignment="1" applyProtection="1">
      <alignment horizontal="center"/>
      <protection hidden="1"/>
    </xf>
    <xf numFmtId="0" fontId="2" fillId="5" borderId="31" xfId="0" applyFont="1" applyFill="1" applyBorder="1" applyAlignment="1" applyProtection="1">
      <alignment horizontal="center"/>
      <protection locked="0"/>
    </xf>
    <xf numFmtId="0" fontId="2" fillId="5" borderId="32" xfId="0" applyFont="1" applyFill="1" applyBorder="1" applyAlignment="1" applyProtection="1">
      <alignment horizontal="center"/>
      <protection locked="0"/>
    </xf>
    <xf numFmtId="0" fontId="2" fillId="5" borderId="33" xfId="0" applyFont="1" applyFill="1" applyBorder="1" applyAlignment="1" applyProtection="1">
      <alignment horizontal="center"/>
      <protection locked="0"/>
    </xf>
    <xf numFmtId="167" fontId="9" fillId="2" borderId="1" xfId="0" applyNumberFormat="1" applyFont="1" applyFill="1" applyBorder="1" applyAlignment="1" applyProtection="1">
      <alignment horizontal="center"/>
      <protection hidden="1"/>
    </xf>
    <xf numFmtId="0" fontId="22" fillId="5" borderId="8" xfId="0" applyFont="1" applyFill="1" applyBorder="1" applyAlignment="1" applyProtection="1">
      <alignment horizontal="center"/>
      <protection locked="0"/>
    </xf>
    <xf numFmtId="0" fontId="22" fillId="2" borderId="0" xfId="0" applyFont="1" applyFill="1" applyAlignment="1" applyProtection="1">
      <alignment horizontal="left"/>
      <protection hidden="1"/>
    </xf>
    <xf numFmtId="0" fontId="9" fillId="2" borderId="8" xfId="0" applyFont="1" applyFill="1" applyBorder="1" applyAlignment="1" applyProtection="1">
      <alignment horizontal="center"/>
      <protection hidden="1"/>
    </xf>
    <xf numFmtId="0" fontId="0" fillId="3" borderId="50" xfId="0" applyFill="1" applyBorder="1" applyAlignment="1">
      <alignment horizontal="center" vertical="center" textRotation="90"/>
    </xf>
    <xf numFmtId="0" fontId="0" fillId="3" borderId="51" xfId="0" applyFill="1" applyBorder="1" applyAlignment="1">
      <alignment horizontal="center" vertical="center" textRotation="90"/>
    </xf>
    <xf numFmtId="0" fontId="0" fillId="3" borderId="88" xfId="0" applyFill="1" applyBorder="1" applyAlignment="1">
      <alignment horizontal="center" vertical="center" textRotation="90"/>
    </xf>
    <xf numFmtId="0" fontId="2" fillId="11" borderId="3" xfId="0" applyFont="1" applyFill="1" applyBorder="1" applyAlignment="1">
      <alignment horizontal="center"/>
    </xf>
    <xf numFmtId="0" fontId="2" fillId="11" borderId="8" xfId="0" applyFont="1" applyFill="1" applyBorder="1" applyAlignment="1">
      <alignment horizontal="center"/>
    </xf>
    <xf numFmtId="0" fontId="2" fillId="11" borderId="38" xfId="0" applyFont="1" applyFill="1" applyBorder="1" applyAlignment="1">
      <alignment horizontal="center"/>
    </xf>
    <xf numFmtId="0" fontId="0" fillId="2" borderId="13" xfId="0" applyFill="1" applyBorder="1" applyAlignment="1">
      <alignment horizontal="center" vertical="center" textRotation="90"/>
    </xf>
    <xf numFmtId="0" fontId="0" fillId="2" borderId="14" xfId="0" applyFill="1" applyBorder="1" applyAlignment="1">
      <alignment horizontal="center" vertical="center" textRotation="90"/>
    </xf>
    <xf numFmtId="0" fontId="0" fillId="2" borderId="15" xfId="0" applyFill="1" applyBorder="1" applyAlignment="1">
      <alignment horizontal="center" vertical="center" textRotation="90"/>
    </xf>
    <xf numFmtId="0" fontId="21" fillId="7" borderId="12" xfId="0" applyFont="1" applyFill="1" applyBorder="1" applyAlignment="1">
      <alignment horizontal="center"/>
    </xf>
    <xf numFmtId="0" fontId="21" fillId="7" borderId="10" xfId="0" applyFont="1" applyFill="1" applyBorder="1" applyAlignment="1">
      <alignment horizontal="center"/>
    </xf>
    <xf numFmtId="0" fontId="23" fillId="2" borderId="39" xfId="0" applyFont="1" applyFill="1" applyBorder="1" applyAlignment="1">
      <alignment horizontal="center" vertical="center" textRotation="90"/>
    </xf>
    <xf numFmtId="1" fontId="11" fillId="0" borderId="32" xfId="0" applyNumberFormat="1" applyFont="1" applyFill="1" applyBorder="1" applyAlignment="1">
      <alignment horizontal="center" vertical="center"/>
    </xf>
    <xf numFmtId="1" fontId="11" fillId="0" borderId="33" xfId="0" applyNumberFormat="1" applyFont="1" applyFill="1" applyBorder="1" applyAlignment="1">
      <alignment horizontal="center" vertical="center"/>
    </xf>
    <xf numFmtId="0" fontId="0" fillId="6" borderId="13" xfId="0"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0" fillId="7" borderId="13" xfId="0" applyFill="1" applyBorder="1" applyAlignment="1" applyProtection="1">
      <alignment horizontal="center" vertical="center" textRotation="180" wrapText="1"/>
      <protection hidden="1"/>
    </xf>
    <xf numFmtId="0" fontId="0" fillId="7" borderId="14" xfId="0" applyFill="1" applyBorder="1" applyAlignment="1" applyProtection="1">
      <alignment horizontal="center" vertical="center" textRotation="180" wrapText="1"/>
      <protection hidden="1"/>
    </xf>
    <xf numFmtId="0" fontId="0" fillId="7" borderId="15" xfId="0" applyFill="1" applyBorder="1" applyAlignment="1" applyProtection="1">
      <alignment horizontal="center" vertical="center" textRotation="180" wrapText="1"/>
      <protection hidden="1"/>
    </xf>
    <xf numFmtId="0" fontId="7" fillId="7" borderId="13" xfId="0" applyFont="1" applyFill="1" applyBorder="1" applyAlignment="1" applyProtection="1">
      <alignment horizontal="center" vertical="center" textRotation="180" wrapText="1"/>
      <protection hidden="1"/>
    </xf>
    <xf numFmtId="0" fontId="7" fillId="7" borderId="14" xfId="0" applyFont="1" applyFill="1" applyBorder="1" applyAlignment="1" applyProtection="1">
      <alignment horizontal="center" vertical="center" textRotation="180" wrapText="1"/>
      <protection hidden="1"/>
    </xf>
    <xf numFmtId="0" fontId="7" fillId="7" borderId="15" xfId="0" applyFont="1" applyFill="1" applyBorder="1" applyAlignment="1" applyProtection="1">
      <alignment horizontal="center" vertical="center" textRotation="180" wrapText="1"/>
      <protection hidden="1"/>
    </xf>
  </cellXfs>
  <cellStyles count="6">
    <cellStyle name="Comma" xfId="1" builtinId="3"/>
    <cellStyle name="Currency" xfId="3" builtinId="4"/>
    <cellStyle name="Hyperlink" xfId="4" builtinId="8"/>
    <cellStyle name="Normal" xfId="0" builtinId="0"/>
    <cellStyle name="Normal 2 2" xfId="5" xr:uid="{00000000-0005-0000-0000-000004000000}"/>
    <cellStyle name="Percent" xfId="2" builtinId="5"/>
  </cellStyles>
  <dxfs count="325">
    <dxf>
      <fill>
        <patternFill patternType="solid">
          <fgColor indexed="64"/>
          <bgColor theme="0" tint="-0.249977111117893"/>
        </patternFill>
      </fill>
      <border diagonalUp="0" diagonalDown="0" outline="0">
        <left/>
        <right/>
        <top/>
        <bottom/>
      </border>
      <protection locked="1" hidden="1"/>
    </dxf>
    <dxf>
      <fill>
        <patternFill patternType="none">
          <fgColor indexed="64"/>
          <bgColor indexed="65"/>
        </patternFill>
      </fill>
      <protection locked="0" hidden="0"/>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0" hidden="0"/>
    </dxf>
    <dxf>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solid">
          <fgColor indexed="64"/>
          <bgColor theme="0" tint="-0.249977111117893"/>
        </patternFill>
      </fill>
      <border diagonalUp="0" diagonalDown="0" outline="0">
        <left/>
        <right/>
        <top/>
        <bottom/>
      </border>
      <protection locked="1" hidden="1"/>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numFmt numFmtId="165" formatCode="_(* #,##0.00_);_(* \(#,##0.00\);_(* &quot;-&quot;??_);_(@_)"/>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1" hidden="1"/>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medium">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medium">
          <color indexed="64"/>
        </left>
        <right style="thin">
          <color auto="1"/>
        </right>
        <top style="thin">
          <color auto="1"/>
        </top>
        <bottom style="thin">
          <color auto="1"/>
        </bottom>
        <vertical style="thin">
          <color auto="1"/>
        </vertical>
        <horizontal style="thin">
          <color auto="1"/>
        </horizontal>
      </border>
    </dxf>
    <dxf>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bgColor auto="1"/>
        </patternFill>
      </fill>
      <border diagonalUp="0" diagonalDown="0" outline="0">
        <left style="thin">
          <color theme="4" tint="0.39997558519241921"/>
        </left>
        <right style="thin">
          <color theme="4" tint="0.39997558519241921"/>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auto="1"/>
      </font>
      <fill>
        <patternFill>
          <bgColor rgb="FFFFFF00"/>
        </patternFill>
      </fill>
    </dxf>
    <dxf>
      <font>
        <b/>
        <i val="0"/>
        <color auto="1"/>
      </font>
      <fill>
        <patternFill>
          <bgColor rgb="FFFFFF00"/>
        </patternFill>
      </fill>
    </dxf>
    <dxf>
      <fill>
        <patternFill patternType="none">
          <fgColor indexed="64"/>
          <bgColor auto="1"/>
        </patternFill>
      </fill>
    </dxf>
    <dxf>
      <fill>
        <patternFill patternType="none">
          <fgColor indexed="64"/>
          <bgColor auto="1"/>
        </patternFill>
      </fill>
    </dxf>
    <dxf>
      <numFmt numFmtId="14" formatCode="0.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4" formatCode="0.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66" formatCode="0.0%"/>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medium">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_(&quot;€&quot;* #,##0.00_);_(&quot;€&quot;* \(#,##0.00\);_(&quot;€&quot;* &quot;-&quot;??_);_(@_)"/>
      <border diagonalUp="0" diagonalDown="0" outline="0">
        <left/>
        <right/>
        <top/>
        <bottom/>
      </border>
    </dxf>
    <dxf>
      <border diagonalUp="0" diagonalDown="0">
        <left style="medium">
          <color indexed="64"/>
        </left>
        <right style="thin">
          <color auto="1"/>
        </right>
        <top style="thin">
          <color auto="1"/>
        </top>
        <bottom style="thin">
          <color auto="1"/>
        </bottom>
        <vertical style="thin">
          <color auto="1"/>
        </vertical>
        <horizontal style="thin">
          <color auto="1"/>
        </horizontal>
      </border>
    </dxf>
    <dxf>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bgColor auto="1"/>
        </patternFill>
      </fill>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1"/>
        <color theme="1"/>
        <name val="Calibri"/>
        <family val="2"/>
        <scheme val="minor"/>
      </font>
    </dxf>
    <dxf>
      <numFmt numFmtId="164" formatCode="_(&quot;€&quot;* #,##0.00_);_(&quot;€&quot;* \(#,##0.00\);_(&quot;€&quot;* &quot;-&quot;??_);_(@_)"/>
    </dxf>
    <dxf>
      <font>
        <b val="0"/>
        <i val="0"/>
        <strike val="0"/>
        <condense val="0"/>
        <extend val="0"/>
        <outline val="0"/>
        <shadow val="0"/>
        <u val="none"/>
        <vertAlign val="baseline"/>
        <sz val="11"/>
        <color theme="1"/>
        <name val="Calibri"/>
        <family val="2"/>
        <scheme val="minor"/>
      </font>
      <numFmt numFmtId="164" formatCode="_(&quot;€&quot;* #,##0.00_);_(&quot;€&quot;* \(#,##0.00\);_(&quot;€&quot;* &quot;-&quot;??_);_(@_)"/>
    </dxf>
    <dxf>
      <numFmt numFmtId="164" formatCode="_(&quot;€&quot;* #,##0.00_);_(&quot;€&quot;* \(#,##0.00\);_(&quot;€&quot;* &quot;-&quot;??_);_(@_)"/>
    </dxf>
    <dxf>
      <font>
        <b val="0"/>
        <i val="0"/>
        <strike val="0"/>
        <condense val="0"/>
        <extend val="0"/>
        <outline val="0"/>
        <shadow val="0"/>
        <u val="none"/>
        <vertAlign val="baseline"/>
        <sz val="11"/>
        <color theme="1"/>
        <name val="Calibri"/>
        <family val="2"/>
        <scheme val="minor"/>
      </font>
      <numFmt numFmtId="164" formatCode="_(&quot;€&quot;* #,##0.00_);_(&quot;€&quot;* \(#,##0.00\);_(&quot;€&quot;* &quot;-&quot;??_);_(@_)"/>
    </dxf>
    <dxf>
      <font>
        <b val="0"/>
        <i val="0"/>
        <strike val="0"/>
        <condense val="0"/>
        <extend val="0"/>
        <outline val="0"/>
        <shadow val="0"/>
        <u val="none"/>
        <vertAlign val="baseline"/>
        <sz val="11"/>
        <color theme="1"/>
        <name val="Calibri"/>
        <family val="2"/>
        <scheme val="minor"/>
      </font>
      <numFmt numFmtId="164" formatCode="_(&quot;€&quot;* #,##0.00_);_(&quot;€&quot;* \(#,##0.00\);_(&quot;€&quot;* &quot;-&quot;??_);_(@_)"/>
    </dxf>
    <dxf>
      <font>
        <b val="0"/>
        <i val="0"/>
        <strike val="0"/>
        <condense val="0"/>
        <extend val="0"/>
        <outline val="0"/>
        <shadow val="0"/>
        <u val="none"/>
        <vertAlign val="baseline"/>
        <sz val="11"/>
        <color theme="1"/>
        <name val="Calibri"/>
        <family val="2"/>
        <scheme val="minor"/>
      </font>
      <numFmt numFmtId="164" formatCode="_(&quot;€&quot;* #,##0.00_);_(&quot;€&quot;* \(#,##0.00\);_(&quot;€&quot;* &quot;-&quot;??_);_(@_)"/>
    </dxf>
    <dxf>
      <numFmt numFmtId="164" formatCode="_(&quot;€&quot;* #,##0.00_);_(&quot;€&quot;* \(#,##0.00\);_(&quot;€&quot;* &quot;-&quot;??_);_(@_)"/>
    </dxf>
    <dxf>
      <font>
        <b val="0"/>
        <i val="0"/>
        <strike val="0"/>
        <condense val="0"/>
        <extend val="0"/>
        <outline val="0"/>
        <shadow val="0"/>
        <u val="none"/>
        <vertAlign val="baseline"/>
        <sz val="11"/>
        <color theme="1"/>
        <name val="Calibri"/>
        <family val="2"/>
        <scheme val="minor"/>
      </font>
      <numFmt numFmtId="164" formatCode="_(&quot;€&quot;* #,##0.00_);_(&quot;€&quot;* \(#,##0.00\);_(&quot;€&quot;* &quot;-&quot;??_);_(@_)"/>
    </dxf>
    <dxf>
      <font>
        <b val="0"/>
        <i val="0"/>
        <strike val="0"/>
        <condense val="0"/>
        <extend val="0"/>
        <outline val="0"/>
        <shadow val="0"/>
        <u val="none"/>
        <vertAlign val="baseline"/>
        <sz val="11"/>
        <color theme="1"/>
        <name val="Calibri"/>
        <scheme val="minor"/>
      </font>
    </dxf>
    <dxf>
      <alignment horizontal="center" vertical="center" textRotation="0" wrapText="1" indent="0" justifyLastLine="0" shrinkToFit="0" readingOrder="0"/>
    </dxf>
    <dxf>
      <numFmt numFmtId="164" formatCode="_(&quot;€&quot;* #,##0.00_);_(&quot;€&quot;* \(#,##0.00\);_(&quot;€&quot;* &quot;-&quot;??_);_(@_)"/>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solid">
          <fgColor indexed="64"/>
          <bgColor rgb="FFFFC000"/>
        </patternFill>
      </fill>
    </dxf>
    <dxf>
      <fill>
        <patternFill patternType="solid">
          <fgColor indexed="64"/>
          <bgColor rgb="FFFFC000"/>
        </patternFill>
      </fill>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solid">
          <fgColor indexed="64"/>
          <bgColor rgb="FFFFC000"/>
        </patternFill>
      </fill>
    </dxf>
    <dxf>
      <fill>
        <patternFill patternType="solid">
          <fgColor indexed="64"/>
          <bgColor rgb="FFFFC000"/>
        </patternFill>
      </fill>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solid">
          <fgColor indexed="64"/>
          <bgColor rgb="FFFFC000"/>
        </patternFill>
      </fill>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alignment horizontal="center" vertical="center" textRotation="0" wrapText="1" indent="0" justifyLastLine="0" shrinkToFit="0" readingOrder="0"/>
    </dxf>
    <dxf>
      <alignment horizontal="center" vertical="center" textRotation="0" wrapText="1" indent="0" justifyLastLine="0" shrinkToFit="0" readingOrder="0"/>
    </dxf>
    <dxf>
      <font>
        <color rgb="FF9C0006"/>
      </font>
      <fill>
        <patternFill>
          <bgColor rgb="FFFFC7CE"/>
        </patternFill>
      </fill>
    </dxf>
    <dxf>
      <font>
        <color theme="0"/>
      </font>
      <fill>
        <patternFill>
          <bgColor theme="0"/>
        </patternFill>
      </fill>
      <border>
        <left/>
        <right/>
        <top/>
        <bottom/>
        <vertical/>
        <horizontal/>
      </border>
    </dxf>
    <dxf>
      <fill>
        <patternFill>
          <bgColor rgb="FFFF7C80"/>
        </patternFill>
      </fill>
    </dxf>
    <dxf>
      <fill>
        <patternFill>
          <bgColor rgb="FFFF7C80"/>
        </patternFill>
      </fill>
    </dxf>
    <dxf>
      <fill>
        <patternFill patternType="none">
          <fgColor indexed="64"/>
          <bgColor indexed="65"/>
        </patternFill>
      </fill>
      <protection locked="1" hidden="1"/>
    </dxf>
    <dxf>
      <fill>
        <patternFill patternType="solid">
          <fgColor indexed="64"/>
          <bgColor theme="5" tint="0.59999389629810485"/>
        </patternFill>
      </fill>
      <protection locked="0" hidden="0"/>
    </dxf>
    <dxf>
      <fill>
        <patternFill patternType="none">
          <fgColor indexed="64"/>
          <bgColor indexed="65"/>
        </patternFill>
      </fill>
      <protection locked="1" hidden="1"/>
    </dxf>
    <dxf>
      <fill>
        <patternFill patternType="solid">
          <fgColor indexed="64"/>
          <bgColor theme="0" tint="-0.14999847407452621"/>
        </patternFill>
      </fill>
      <protection locked="0" hidden="0"/>
    </dxf>
    <dxf>
      <fill>
        <patternFill patternType="none">
          <fgColor indexed="64"/>
          <bgColor indexed="65"/>
        </patternFill>
      </fill>
      <protection locked="1" hidden="1"/>
    </dxf>
    <dxf>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Calibri"/>
        <family val="2"/>
        <scheme val="minor"/>
      </font>
      <numFmt numFmtId="168" formatCode="#,##0.00\ &quot;€&quot;"/>
      <fill>
        <patternFill patternType="none">
          <fgColor indexed="64"/>
          <bgColor indexed="65"/>
        </patternFill>
      </fill>
      <protection locked="1" hidden="1"/>
    </dxf>
    <dxf>
      <numFmt numFmtId="168" formatCode="#,##0.00\ &quot;€&quot;"/>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protection locked="1" hidden="1"/>
    </dxf>
    <dxf>
      <fill>
        <patternFill patternType="none">
          <fgColor indexed="64"/>
          <bgColor auto="1"/>
        </patternFill>
      </fill>
      <protection locked="0" hidden="0"/>
    </dxf>
    <dxf>
      <fill>
        <patternFill patternType="none">
          <fgColor indexed="64"/>
          <bgColor auto="1"/>
        </patternFill>
      </fill>
      <alignment horizontal="center" vertical="bottom" textRotation="0" wrapText="0" indent="0" justifyLastLine="0" shrinkToFit="0" readingOrder="0"/>
      <protection locked="1" hidden="1"/>
    </dxf>
    <dxf>
      <fill>
        <patternFill patternType="none">
          <fgColor indexed="64"/>
          <bgColor indexed="65"/>
        </patternFill>
      </fill>
      <protection locked="1" hidden="1"/>
    </dxf>
    <dxf>
      <fill>
        <patternFill patternType="solid">
          <fgColor indexed="64"/>
          <bgColor theme="0" tint="-0.14999847407452621"/>
        </patternFill>
      </fill>
      <protection locked="1" hidden="1"/>
    </dxf>
    <dxf>
      <fill>
        <patternFill patternType="none">
          <fgColor indexed="64"/>
          <bgColor indexed="65"/>
        </patternFill>
      </fill>
      <protection locked="0" hidden="0"/>
    </dxf>
    <dxf>
      <fill>
        <patternFill patternType="solid">
          <fgColor indexed="64"/>
          <bgColor theme="5" tint="0.59999389629810485"/>
        </patternFill>
      </fill>
      <protection locked="0" hidden="0"/>
    </dxf>
    <dxf>
      <fill>
        <patternFill patternType="solid">
          <fgColor indexed="64"/>
          <bgColor theme="0" tint="-0.14999847407452621"/>
        </patternFill>
      </fill>
      <border diagonalUp="0" diagonalDown="0" outline="0">
        <left/>
        <right/>
        <top/>
        <bottom/>
      </border>
      <protection locked="1" hidden="1"/>
    </dxf>
    <dxf>
      <numFmt numFmtId="168" formatCode="#,##0.00\ &quot;€&quot;"/>
      <fill>
        <patternFill patternType="none">
          <fgColor indexed="64"/>
          <bgColor indexed="65"/>
        </patternFill>
      </fill>
      <protection locked="1" hidden="1"/>
    </dxf>
    <dxf>
      <fill>
        <patternFill patternType="solid">
          <fgColor indexed="64"/>
          <bgColor theme="0" tint="-0.14999847407452621"/>
        </patternFill>
      </fill>
      <border diagonalUp="0" diagonalDown="0" outline="0">
        <left/>
        <right/>
        <top/>
        <bottom/>
      </border>
      <protection locked="1" hidden="1"/>
    </dxf>
    <dxf>
      <numFmt numFmtId="168" formatCode="#,##0.00\ &quot;€&quot;"/>
      <fill>
        <patternFill patternType="none">
          <fgColor indexed="64"/>
          <bgColor auto="1"/>
        </patternFill>
      </fill>
      <protection locked="1" hidden="1"/>
    </dxf>
    <dxf>
      <fill>
        <patternFill patternType="solid">
          <fgColor indexed="64"/>
          <bgColor theme="0" tint="-0.14999847407452621"/>
        </patternFill>
      </fill>
      <border diagonalUp="0" diagonalDown="0" outline="0">
        <left/>
        <right/>
        <top/>
        <bottom/>
      </border>
      <protection locked="1" hidden="1"/>
    </dxf>
    <dxf>
      <numFmt numFmtId="168" formatCode="#,##0.00\ &quot;€&quot;"/>
      <fill>
        <patternFill patternType="none">
          <fgColor indexed="64"/>
          <bgColor indexed="65"/>
        </patternFill>
      </fill>
      <protection locked="1" hidden="1"/>
    </dxf>
    <dxf>
      <fill>
        <patternFill patternType="solid">
          <fgColor indexed="64"/>
          <bgColor theme="0" tint="-0.14999847407452621"/>
        </patternFill>
      </fill>
      <border diagonalUp="0" diagonalDown="0" outline="0">
        <left/>
        <right/>
        <top/>
        <bottom/>
      </border>
      <protection locked="0" hidden="0"/>
    </dxf>
    <dxf>
      <fill>
        <patternFill patternType="none">
          <fgColor indexed="64"/>
          <bgColor auto="1"/>
        </patternFill>
      </fill>
      <protection locked="0" hidden="0"/>
    </dxf>
    <dxf>
      <fill>
        <patternFill patternType="none">
          <fgColor indexed="64"/>
          <bgColor indexed="65"/>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numFmt numFmtId="164" formatCode="_(&quot;€&quot;* #,##0.00_);_(&quot;€&quot;* \(#,##0.00\);_(&quot;€&quot;* &quot;-&quot;??_);_(@_)"/>
      <fill>
        <patternFill patternType="solid">
          <fgColor indexed="64"/>
          <bgColor theme="0" tint="-0.14999847407452621"/>
        </patternFill>
      </fill>
      <border diagonalUp="0" diagonalDown="0">
        <left/>
        <right/>
        <top style="dashed">
          <color auto="1"/>
        </top>
        <bottom style="dashed">
          <color auto="1"/>
        </bottom>
        <vertical/>
        <horizontal style="dashed">
          <color auto="1"/>
        </horizontal>
      </border>
      <protection locked="1" hidden="1"/>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numFmt numFmtId="164" formatCode="_(&quot;€&quot;* #,##0.00_);_(&quot;€&quot;* \(#,##0.00\);_(&quot;€&quot;* &quot;-&quot;??_);_(@_)"/>
      <fill>
        <patternFill patternType="solid">
          <fgColor indexed="64"/>
          <bgColor theme="0" tint="-0.14999847407452621"/>
        </patternFill>
      </fill>
      <border diagonalUp="0" diagonalDown="0">
        <left/>
        <right/>
        <top style="dashed">
          <color auto="1"/>
        </top>
        <bottom style="dashed">
          <color auto="1"/>
        </bottom>
        <vertical/>
        <horizontal style="dashed">
          <color auto="1"/>
        </horizontal>
      </border>
      <protection locked="1" hidden="1"/>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4" formatCode="_(&quot;€&quot;* #,##0.00_);_(&quot;€&quot;* \(#,##0.00\);_(&quot;€&quot;* &quot;-&quot;??_);_(@_)"/>
      <fill>
        <patternFill patternType="none">
          <fgColor indexed="64"/>
          <bgColor indexed="65"/>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5" formatCode="_(* #,##0.00_);_(* \(#,##0.00\);_(* &quot;-&quot;??_);_(@_)"/>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numFmt numFmtId="165" formatCode="_(* #,##0.00_);_(* \(#,##0.00\);_(* &quot;-&quot;??_);_(@_)"/>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numFmt numFmtId="165" formatCode="_(* #,##0.00_);_(* \(#,##0.00\);_(* &quot;-&quot;??_);_(@_)"/>
      <fill>
        <patternFill patternType="none">
          <fgColor indexed="64"/>
          <bgColor indexed="65"/>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165" formatCode="_(* #,##0.00_);_(* \(#,##0.00\);_(* &quot;-&quot;??_);_(@_)"/>
      <fill>
        <patternFill patternType="none">
          <fgColor indexed="64"/>
          <bgColor indexed="65"/>
        </patternFill>
      </fill>
      <protection locked="0" hidden="0"/>
    </dxf>
    <dxf>
      <numFmt numFmtId="165" formatCode="_(* #,##0.00_);_(* \(#,##0.00\);_(* &quot;-&quot;??_);_(@_)"/>
      <fill>
        <patternFill patternType="solid">
          <fgColor indexed="64"/>
          <bgColor theme="0" tint="-0.14999847407452621"/>
        </patternFill>
      </fill>
      <border diagonalUp="0" diagonalDown="0">
        <left/>
        <right/>
        <top style="dashed">
          <color auto="1"/>
        </top>
        <bottom style="dashed">
          <color auto="1"/>
        </bottom>
        <vertical/>
        <horizontal style="dashed">
          <color auto="1"/>
        </horizontal>
      </border>
      <protection locked="1" hidden="1"/>
    </dxf>
    <dxf>
      <font>
        <b val="0"/>
        <i val="0"/>
        <strike val="0"/>
        <condense val="0"/>
        <extend val="0"/>
        <outline val="0"/>
        <shadow val="0"/>
        <u val="none"/>
        <vertAlign val="baseline"/>
        <sz val="11"/>
        <color theme="1"/>
        <name val="Calibri"/>
        <family val="2"/>
        <scheme val="minor"/>
      </font>
      <numFmt numFmtId="165" formatCode="_(* #,##0.00_);_(* \(#,##0.00\);_(* &quot;-&quot;??_);_(@_)"/>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numFmt numFmtId="165" formatCode="_(* #,##0.00_);_(* \(#,##0.00\);_(* &quot;-&quot;??_);_(@_)"/>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numFmt numFmtId="165" formatCode="_(* #,##0.00_);_(* \(#,##0.00\);_(* &quot;-&quot;??_);_(@_)"/>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numFmt numFmtId="171" formatCode="dd/mm/yyyy"/>
      <fill>
        <patternFill patternType="none">
          <fgColor indexed="64"/>
          <bgColor auto="1"/>
        </patternFill>
      </fill>
      <protection locked="0" hidden="0"/>
    </dxf>
    <dxf>
      <fill>
        <patternFill patternType="none">
          <fgColor indexed="64"/>
          <bgColor indexed="65"/>
        </patternFill>
      </fill>
      <protection locked="0" hidden="0"/>
    </dxf>
    <dxf>
      <numFmt numFmtId="171" formatCode="dd/mm/yyyy"/>
      <fill>
        <patternFill patternType="none">
          <fgColor indexed="64"/>
          <bgColor auto="1"/>
        </patternFill>
      </fill>
      <protection locked="0" hidden="0"/>
    </dxf>
    <dxf>
      <fill>
        <patternFill patternType="none">
          <fgColor indexed="64"/>
          <bgColor indexed="65"/>
        </patternFill>
      </fill>
      <protection locked="0" hidden="0"/>
    </dxf>
    <dxf>
      <fill>
        <patternFill patternType="none">
          <fgColor indexed="64"/>
          <bgColor auto="1"/>
        </patternFill>
      </fill>
      <protection locked="0" hidden="0"/>
    </dxf>
    <dxf>
      <fill>
        <patternFill patternType="none">
          <fgColor indexed="64"/>
          <bgColor indexed="65"/>
        </patternFill>
      </fill>
      <protection locked="0" hidden="0"/>
    </dxf>
    <dxf>
      <fill>
        <patternFill patternType="none">
          <fgColor indexed="64"/>
          <bgColor auto="1"/>
        </patternFill>
      </fill>
      <protection locked="0" hidden="0"/>
    </dxf>
    <dxf>
      <numFmt numFmtId="0" formatCode="General"/>
      <fill>
        <patternFill patternType="none">
          <fgColor indexed="64"/>
          <bgColor indexed="65"/>
        </patternFill>
      </fill>
      <protection locked="0" hidden="0"/>
    </dxf>
    <dxf>
      <fill>
        <patternFill patternType="none">
          <fgColor indexed="64"/>
          <bgColor auto="1"/>
        </patternFill>
      </fill>
      <protection locked="0" hidden="0"/>
    </dxf>
    <dxf>
      <fill>
        <patternFill patternType="none">
          <fgColor indexed="64"/>
          <bgColor indexed="65"/>
        </patternFill>
      </fill>
      <protection locked="0" hidden="0"/>
    </dxf>
    <dxf>
      <fill>
        <patternFill patternType="none">
          <fgColor indexed="64"/>
          <bgColor auto="1"/>
        </patternFill>
      </fill>
      <protection locked="0" hidden="0"/>
    </dxf>
    <dxf>
      <fill>
        <patternFill patternType="none">
          <fgColor indexed="64"/>
          <bgColor indexed="65"/>
        </patternFill>
      </fill>
      <protection locked="0" hidden="0"/>
    </dxf>
    <dxf>
      <fill>
        <patternFill patternType="none">
          <fgColor indexed="64"/>
          <bgColor auto="1"/>
        </patternFill>
      </fill>
      <protection locked="0" hidden="0"/>
    </dxf>
    <dxf>
      <fill>
        <patternFill patternType="none">
          <fgColor indexed="64"/>
          <bgColor indexed="65"/>
        </patternFill>
      </fill>
      <protection locked="0" hidden="0"/>
    </dxf>
    <dxf>
      <numFmt numFmtId="1" formatCode="0"/>
      <fill>
        <patternFill patternType="none">
          <fgColor indexed="64"/>
          <bgColor auto="1"/>
        </patternFill>
      </fill>
      <protection locked="0" hidden="0"/>
    </dxf>
    <dxf>
      <fill>
        <patternFill patternType="none">
          <fgColor indexed="64"/>
          <bgColor indexed="65"/>
        </patternFill>
      </fill>
      <protection locked="0" hidden="0"/>
    </dxf>
    <dxf>
      <fill>
        <patternFill patternType="none">
          <fgColor indexed="64"/>
          <bgColor auto="1"/>
        </patternFill>
      </fill>
      <protection locked="0" hidden="0"/>
    </dxf>
    <dxf>
      <fill>
        <patternFill patternType="none">
          <fgColor indexed="64"/>
          <bgColor indexed="65"/>
        </patternFill>
      </fill>
      <protection locked="0" hidden="0"/>
    </dxf>
    <dxf>
      <fill>
        <patternFill patternType="none">
          <fgColor indexed="64"/>
          <bgColor auto="1"/>
        </patternFill>
      </fill>
      <protection locked="0" hidden="0"/>
    </dxf>
    <dxf>
      <fill>
        <patternFill patternType="none">
          <fgColor indexed="64"/>
          <bgColor indexed="65"/>
        </patternFill>
      </fill>
      <protection locked="1" hidden="1"/>
    </dxf>
    <dxf>
      <fill>
        <patternFill patternType="solid">
          <fgColor indexed="64"/>
          <bgColor theme="2" tint="-9.9978637043366805E-2"/>
        </patternFill>
      </fill>
      <protection locked="1" hidden="1"/>
    </dxf>
    <dxf>
      <fill>
        <patternFill patternType="none">
          <fgColor indexed="64"/>
          <bgColor auto="1"/>
        </patternFill>
      </fill>
      <protection locked="1" hidden="1"/>
    </dxf>
    <dxf>
      <fill>
        <patternFill patternType="none">
          <fgColor indexed="64"/>
          <bgColor auto="1"/>
        </patternFill>
      </fill>
      <alignment horizontal="center" vertical="center" textRotation="0" indent="0" justifyLastLine="0" shrinkToFit="0" readingOrder="0"/>
      <protection locked="1" hidden="1"/>
    </dxf>
    <dxf>
      <fill>
        <patternFill>
          <bgColor rgb="FFFF0000"/>
        </patternFill>
      </fill>
    </dxf>
    <dxf>
      <font>
        <color rgb="FF9C0006"/>
      </font>
      <fill>
        <patternFill>
          <bgColor rgb="FFFFC7CE"/>
        </patternFill>
      </fill>
    </dxf>
    <dxf>
      <numFmt numFmtId="4" formatCode="#,##0.00"/>
      <fill>
        <patternFill>
          <bgColor rgb="FFFF0000"/>
        </patternFill>
      </fill>
    </dxf>
    <dxf>
      <numFmt numFmtId="0" formatCode="General"/>
      <fill>
        <patternFill patternType="solid">
          <fgColor indexed="64"/>
          <bgColor theme="0" tint="-0.14999847407452621"/>
        </patternFill>
      </fill>
      <border diagonalUp="0" diagonalDown="0">
        <left/>
        <right/>
        <top style="dashed">
          <color auto="1"/>
        </top>
        <bottom style="dashed">
          <color auto="1"/>
        </bottom>
      </border>
      <protection locked="1" hidden="1"/>
    </dxf>
    <dxf>
      <fill>
        <patternFill patternType="solid">
          <fgColor indexed="64"/>
          <bgColor theme="5" tint="0.59999389629810485"/>
        </patternFill>
      </fill>
      <border diagonalUp="0" diagonalDown="0" outline="0">
        <left/>
        <right/>
        <top style="dashed">
          <color auto="1"/>
        </top>
        <bottom style="dashed">
          <color auto="1"/>
        </bottom>
      </border>
      <protection locked="0" hidden="0"/>
    </dxf>
    <dxf>
      <numFmt numFmtId="168" formatCode="#,##0.00\ &quot;€&quot;"/>
      <fill>
        <patternFill patternType="solid">
          <fgColor indexed="64"/>
          <bgColor theme="0" tint="-0.14999847407452621"/>
        </patternFill>
      </fill>
      <border diagonalUp="0" diagonalDown="0">
        <left/>
        <right/>
        <top style="dashed">
          <color auto="1"/>
        </top>
        <bottom style="dashed">
          <color auto="1"/>
        </bottom>
        <vertical/>
        <horizontal/>
      </border>
      <protection locked="1" hidden="1"/>
    </dxf>
    <dxf>
      <numFmt numFmtId="168" formatCode="#,##0.00\ &quot;€&quot;"/>
      <fill>
        <patternFill patternType="solid">
          <fgColor indexed="64"/>
          <bgColor theme="0" tint="-0.14999847407452621"/>
        </patternFill>
      </fill>
      <border diagonalUp="0" diagonalDown="0" outline="0">
        <left/>
        <right/>
        <top style="dashed">
          <color auto="1"/>
        </top>
        <bottom style="dashed">
          <color auto="1"/>
        </bottom>
      </border>
      <protection locked="1" hidden="1"/>
    </dxf>
    <dxf>
      <numFmt numFmtId="168" formatCode="#,##0.00\ &quot;€&quot;"/>
      <fill>
        <patternFill patternType="solid">
          <fgColor indexed="64"/>
          <bgColor theme="0" tint="-0.14999847407452621"/>
        </patternFill>
      </fill>
      <border diagonalUp="0" diagonalDown="0" outline="0">
        <left/>
        <right/>
        <top style="dashed">
          <color auto="1"/>
        </top>
        <bottom style="dashed">
          <color auto="1"/>
        </bottom>
      </border>
      <protection locked="1" hidden="1"/>
    </dxf>
    <dxf>
      <fill>
        <patternFill patternType="none">
          <fgColor indexed="64"/>
          <bgColor auto="1"/>
        </patternFill>
      </fill>
      <protection locked="0" hidden="0"/>
    </dxf>
    <dxf>
      <fill>
        <patternFill patternType="none">
          <fgColor indexed="64"/>
          <bgColor auto="1"/>
        </patternFill>
      </fill>
      <protection locked="0" hidden="0"/>
    </dxf>
    <dxf>
      <numFmt numFmtId="168" formatCode="#,##0.00\ &quot;€&quot;"/>
      <fill>
        <patternFill patternType="solid">
          <fgColor indexed="64"/>
          <bgColor theme="0" tint="-0.14999847407452621"/>
        </patternFill>
      </fill>
      <border diagonalUp="0" diagonalDown="0">
        <left/>
        <right/>
        <top style="dashed">
          <color auto="1"/>
        </top>
        <bottom style="dashed">
          <color auto="1"/>
        </bottom>
      </border>
      <protection locked="1" hidden="1"/>
    </dxf>
    <dxf>
      <fill>
        <patternFill patternType="none">
          <fgColor indexed="64"/>
          <bgColor auto="1"/>
        </patternFill>
      </fill>
      <protection locked="0" hidden="0"/>
    </dxf>
    <dxf>
      <numFmt numFmtId="168" formatCode="#,##0.00\ &quot;€&quot;"/>
      <fill>
        <patternFill patternType="solid">
          <fgColor indexed="64"/>
          <bgColor theme="0" tint="-0.14999847407452621"/>
        </patternFill>
      </fill>
      <border diagonalUp="0" diagonalDown="0">
        <left/>
        <right/>
        <top style="dashed">
          <color auto="1"/>
        </top>
        <bottom style="dashed">
          <color auto="1"/>
        </bottom>
      </border>
      <protection locked="1" hidden="1"/>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numFmt numFmtId="168" formatCode="#,##0.00\ &quot;€&quot;"/>
      <fill>
        <patternFill patternType="none">
          <fgColor indexed="64"/>
          <bgColor auto="1"/>
        </patternFill>
      </fill>
      <protection locked="0" hidden="0"/>
    </dxf>
    <dxf>
      <numFmt numFmtId="4" formatCode="#,##0.00"/>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numFmt numFmtId="4" formatCode="#,##0.00"/>
      <fill>
        <patternFill patternType="none">
          <fgColor indexed="64"/>
          <bgColor indexed="65"/>
        </patternFill>
      </fill>
      <protection locked="0" hidden="0"/>
    </dxf>
    <dxf>
      <numFmt numFmtId="4" formatCode="#,##0.00"/>
      <fill>
        <patternFill patternType="none">
          <fgColor indexed="64"/>
          <bgColor auto="1"/>
        </patternFill>
      </fill>
      <protection locked="0" hidden="0"/>
    </dxf>
    <dxf>
      <numFmt numFmtId="165" formatCode="_(* #,##0.00_);_(* \(#,##0.00\);_(* &quot;-&quot;??_);_(@_)"/>
      <fill>
        <patternFill patternType="solid">
          <fgColor indexed="64"/>
          <bgColor theme="0" tint="-0.14999847407452621"/>
        </patternFill>
      </fill>
      <border diagonalUp="0" diagonalDown="0">
        <left/>
        <right/>
        <top style="dashed">
          <color auto="1"/>
        </top>
        <bottom style="dashed">
          <color auto="1"/>
        </bottom>
      </border>
      <protection locked="1" hidden="1"/>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fill>
        <patternFill patternType="none">
          <fgColor indexed="64"/>
          <bgColor auto="1"/>
        </patternFill>
      </fill>
      <protection locked="0" hidden="0"/>
    </dxf>
    <dxf>
      <numFmt numFmtId="171" formatCode="dd/mm/yyyy"/>
      <fill>
        <patternFill patternType="none">
          <fgColor indexed="64"/>
          <bgColor auto="1"/>
        </patternFill>
      </fill>
      <protection locked="0" hidden="0"/>
    </dxf>
    <dxf>
      <numFmt numFmtId="171" formatCode="dd/mm/yyyy"/>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numFmt numFmtId="1" formatCode="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solid">
          <fgColor indexed="64"/>
          <bgColor theme="0" tint="-0.249977111117893"/>
        </patternFill>
      </fill>
      <border diagonalUp="0" diagonalDown="0">
        <left/>
        <right/>
        <top style="dashed">
          <color auto="1"/>
        </top>
        <bottom style="dashed">
          <color auto="1"/>
        </bottom>
        <vertical/>
        <horizontal style="dashed">
          <color auto="1"/>
        </horizontal>
      </border>
      <protection locked="1" hidden="1"/>
    </dxf>
    <dxf>
      <fill>
        <patternFill patternType="none">
          <fgColor indexed="64"/>
          <bgColor auto="1"/>
        </patternFill>
      </fill>
      <protection locked="1" hidden="1"/>
    </dxf>
    <dxf>
      <fill>
        <patternFill patternType="none">
          <fgColor indexed="64"/>
          <bgColor auto="1"/>
        </patternFill>
      </fill>
      <alignment horizontal="center" vertical="center" textRotation="0" indent="0" justifyLastLine="0" shrinkToFit="0" readingOrder="0"/>
      <protection locked="1" hidden="1"/>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patternType="solid">
          <fgColor indexed="64"/>
          <bgColor theme="0" tint="-0.249977111117893"/>
        </patternFill>
      </fill>
      <border diagonalUp="0" diagonalDown="0" outline="0">
        <left style="dashed">
          <color auto="1"/>
        </left>
        <right/>
        <top/>
        <bottom/>
      </border>
      <protection locked="1" hidden="1"/>
    </dxf>
    <dxf>
      <fill>
        <patternFill patternType="solid">
          <fgColor indexed="64"/>
          <bgColor theme="5" tint="0.59999389629810485"/>
        </patternFill>
      </fill>
      <protection locked="0" hidden="0"/>
    </dxf>
    <dxf>
      <fill>
        <patternFill patternType="solid">
          <fgColor indexed="64"/>
          <bgColor theme="0" tint="-0.249977111117893"/>
        </patternFill>
      </fill>
      <protection locked="1" hidden="1"/>
    </dxf>
    <dxf>
      <fill>
        <patternFill patternType="solid">
          <fgColor indexed="64"/>
          <bgColor theme="0" tint="-0.14999847407452621"/>
        </patternFill>
      </fill>
      <border>
        <right style="dashed">
          <color auto="1"/>
        </right>
      </border>
      <protection locked="0" hidden="0"/>
    </dxf>
    <dxf>
      <fill>
        <patternFill patternType="solid">
          <fgColor indexed="64"/>
          <bgColor theme="0" tint="-0.249977111117893"/>
        </patternFill>
      </fill>
      <protection locked="1" hidden="1"/>
    </dxf>
    <dxf>
      <fill>
        <patternFill patternType="solid">
          <fgColor indexed="64"/>
          <bgColor theme="0" tint="-0.14999847407452621"/>
        </patternFill>
      </fill>
      <protection locked="0" hidden="0"/>
    </dxf>
    <dxf>
      <numFmt numFmtId="168" formatCode="#,##0.00\ &quot;€&quot;"/>
      <fill>
        <patternFill patternType="none">
          <fgColor indexed="64"/>
          <bgColor indexed="65"/>
        </patternFill>
      </fill>
      <protection locked="1" hidden="1"/>
    </dxf>
    <dxf>
      <numFmt numFmtId="168" formatCode="#,##0.00\ &quot;€&quot;"/>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protection locked="1" hidden="1"/>
    </dxf>
    <dxf>
      <fill>
        <patternFill patternType="none">
          <fgColor indexed="64"/>
          <bgColor auto="1"/>
        </patternFill>
      </fill>
      <protection locked="0" hidden="0"/>
    </dxf>
    <dxf>
      <fill>
        <patternFill patternType="none">
          <fgColor indexed="64"/>
          <bgColor auto="1"/>
        </patternFill>
      </fill>
      <alignment horizontal="center" vertical="bottom" textRotation="0" wrapText="0" indent="0" justifyLastLine="0" shrinkToFit="0" readingOrder="0"/>
      <protection locked="1" hidden="1"/>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00_);_(* \(#,##0.00\);_(* &quot;-&quot;??_);_(@_)"/>
      <fill>
        <patternFill patternType="solid">
          <fgColor indexed="64"/>
          <bgColor theme="0" tint="-0.249977111117893"/>
        </patternFill>
      </fill>
      <protection locked="1" hidden="1"/>
    </dxf>
    <dxf>
      <numFmt numFmtId="165" formatCode="_(* #,##0.00_);_(* \(#,##0.00\);_(* &quot;-&quot;??_);_(@_)"/>
      <fill>
        <patternFill patternType="solid">
          <fgColor indexed="64"/>
          <bgColor theme="0" tint="-0.14999847407452621"/>
        </patternFill>
      </fill>
      <protection locked="1" hidden="1"/>
    </dxf>
    <dxf>
      <fill>
        <patternFill patternType="none">
          <fgColor indexed="64"/>
          <bgColor indexed="65"/>
        </patternFill>
      </fill>
      <protection locked="1" hidden="1"/>
    </dxf>
    <dxf>
      <numFmt numFmtId="4" formatCode="#,##0.00"/>
      <fill>
        <patternFill patternType="none">
          <fgColor indexed="64"/>
          <bgColor auto="1"/>
        </patternFill>
      </fill>
      <protection locked="0" hidden="0"/>
    </dxf>
    <dxf>
      <fill>
        <patternFill patternType="none">
          <fgColor indexed="64"/>
          <bgColor indexed="65"/>
        </patternFill>
      </fill>
      <protection locked="1" hidden="1"/>
    </dxf>
    <dxf>
      <numFmt numFmtId="171" formatCode="dd/mm/yyyy"/>
      <fill>
        <patternFill patternType="none">
          <fgColor indexed="64"/>
          <bgColor auto="1"/>
        </patternFill>
      </fill>
      <protection locked="0" hidden="0"/>
    </dxf>
    <dxf>
      <fill>
        <patternFill patternType="none">
          <fgColor indexed="64"/>
          <bgColor indexed="65"/>
        </patternFill>
      </fill>
      <protection locked="1" hidden="1"/>
    </dxf>
    <dxf>
      <numFmt numFmtId="171" formatCode="dd/mm/yyyy"/>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1" hidden="1"/>
    </dxf>
    <dxf>
      <protection locked="1" hidden="1"/>
    </dxf>
    <dxf>
      <fill>
        <patternFill patternType="none">
          <fgColor indexed="64"/>
          <bgColor auto="1"/>
        </patternFill>
      </fill>
      <protection locked="1" hidden="1"/>
    </dxf>
    <dxf>
      <fill>
        <patternFill patternType="none">
          <fgColor indexed="64"/>
          <bgColor auto="1"/>
        </patternFill>
      </fill>
      <alignment horizontal="center" vertical="center" textRotation="0"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165" formatCode="_(* #,##0.00_);_(* \(#,##0.00\);_(* &quot;-&quot;??_);_(@_)"/>
      <fill>
        <patternFill patternType="none">
          <fgColor indexed="64"/>
          <bgColor indexed="65"/>
        </patternFill>
      </fill>
      <protection locked="1" hidden="1"/>
    </dxf>
    <dxf>
      <fill>
        <patternFill patternType="solid">
          <fgColor indexed="64"/>
          <bgColor theme="0" tint="-0.14999847407452621"/>
        </patternFill>
      </fill>
      <protection locked="1" hidden="1"/>
    </dxf>
    <dxf>
      <fill>
        <patternFill patternType="none">
          <fgColor indexed="64"/>
          <bgColor indexed="65"/>
        </patternFill>
      </fill>
      <alignment horizontal="center" vertical="bottom" textRotation="0" wrapText="0" indent="0" justifyLastLine="0" shrinkToFit="0" readingOrder="0"/>
      <protection locked="1" hidden="1"/>
    </dxf>
    <dxf>
      <numFmt numFmtId="171" formatCode="dd/mm/yyyy"/>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1" hidden="1"/>
    </dxf>
    <dxf>
      <numFmt numFmtId="171" formatCode="dd/mm/yyyy"/>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indexed="65"/>
        </patternFill>
      </fill>
      <protection locked="1" hidden="1"/>
    </dxf>
    <dxf>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1" hidden="1"/>
    </dxf>
    <dxf>
      <protection locked="1" hidden="1"/>
    </dxf>
    <dxf>
      <fill>
        <patternFill patternType="none">
          <fgColor indexed="64"/>
          <bgColor auto="1"/>
        </patternFill>
      </fill>
      <protection locked="1" hidden="1"/>
    </dxf>
    <dxf>
      <fill>
        <patternFill patternType="none">
          <fgColor indexed="64"/>
          <bgColor auto="1"/>
        </patternFill>
      </fill>
      <alignment horizontal="center" vertical="bottom" textRotation="0" wrapText="0" indent="0" justifyLastLine="0" shrinkToFit="0" readingOrder="0"/>
      <protection locked="1" hidden="1"/>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numFmt numFmtId="165" formatCode="_(* #,##0.00_);_(* \(#,##0.00\);_(* &quot;-&quot;??_);_(@_)"/>
      <fill>
        <patternFill patternType="solid">
          <fgColor indexed="64"/>
          <bgColor theme="0" tint="-0.249977111117893"/>
        </patternFill>
      </fill>
      <protection locked="1" hidden="1"/>
    </dxf>
    <dxf>
      <numFmt numFmtId="165" formatCode="_(* #,##0.00_);_(* \(#,##0.00\);_(* &quot;-&quot;??_);_(@_)"/>
      <fill>
        <patternFill patternType="solid">
          <fgColor indexed="64"/>
          <bgColor theme="0" tint="-0.14999847407452621"/>
        </patternFill>
      </fill>
      <protection locked="1" hidden="1"/>
    </dxf>
    <dxf>
      <fill>
        <patternFill patternType="none">
          <fgColor indexed="64"/>
          <bgColor indexed="65"/>
        </patternFill>
      </fill>
      <protection locked="1" hidden="1"/>
    </dxf>
    <dxf>
      <numFmt numFmtId="171" formatCode="dd/mm/yyyy"/>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numFmt numFmtId="165" formatCode="_(* #,##0.00_);_(* \(#,##0.00\);_(* &quot;-&quot;??_);_(@_)"/>
      <fill>
        <patternFill patternType="none">
          <fgColor indexed="64"/>
          <bgColor indexed="65"/>
        </patternFill>
      </fill>
      <protection locked="1" hidden="1"/>
    </dxf>
    <dxf>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numFmt numFmtId="1" formatCode="0"/>
      <fill>
        <patternFill patternType="none">
          <fgColor indexed="64"/>
          <bgColor indexed="65"/>
        </patternFill>
      </fill>
      <protection locked="1" hidden="1"/>
    </dxf>
    <dxf>
      <font>
        <b/>
      </font>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indexed="65"/>
        </patternFill>
      </fill>
      <protection locked="1" hidden="1"/>
    </dxf>
    <dxf>
      <fill>
        <patternFill patternType="none">
          <fgColor indexed="64"/>
          <bgColor auto="1"/>
        </patternFill>
      </fill>
      <protection locked="0" hidden="0"/>
    </dxf>
    <dxf>
      <fill>
        <patternFill patternType="none">
          <fgColor indexed="64"/>
          <bgColor indexed="65"/>
        </patternFill>
      </fill>
      <protection locked="1" hidden="1"/>
    </dxf>
    <dxf>
      <fill>
        <patternFill patternType="none">
          <fgColor indexed="64"/>
          <bgColor auto="1"/>
        </patternFill>
      </fill>
      <protection locked="0" hidden="0"/>
    </dxf>
    <dxf>
      <fill>
        <patternFill patternType="none">
          <fgColor indexed="64"/>
          <bgColor indexed="65"/>
        </patternFill>
      </fill>
      <protection locked="1" hidden="1"/>
    </dxf>
    <dxf>
      <numFmt numFmtId="0" formatCode="General"/>
      <fill>
        <patternFill patternType="none">
          <fgColor indexed="64"/>
          <bgColor auto="1"/>
        </patternFill>
      </fill>
      <protection locked="1" hidden="1"/>
    </dxf>
    <dxf>
      <protection locked="1" hidden="1"/>
    </dxf>
    <dxf>
      <fill>
        <patternFill patternType="none">
          <fgColor indexed="64"/>
          <bgColor auto="1"/>
        </patternFill>
      </fill>
      <protection locked="1" hidden="1"/>
    </dxf>
    <dxf>
      <fill>
        <patternFill patternType="none">
          <fgColor indexed="64"/>
          <bgColor auto="1"/>
        </patternFill>
      </fill>
      <alignment horizontal="center" vertical="center" textRotation="0" wrapText="1" indent="0" justifyLastLine="0" shrinkToFit="0" readingOrder="0"/>
      <protection locked="1" hidden="1"/>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font>
        <b/>
        <i val="0"/>
      </font>
      <border>
        <bottom style="thin">
          <color auto="1"/>
        </bottom>
        <vertical/>
        <horizontal/>
      </border>
    </dxf>
    <dxf>
      <fill>
        <patternFill>
          <bgColor theme="4"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2951069</xdr:colOff>
      <xdr:row>4</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0"/>
          <a:ext cx="292249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438150</xdr:colOff>
      <xdr:row>0</xdr:row>
      <xdr:rowOff>0</xdr:rowOff>
    </xdr:from>
    <xdr:to>
      <xdr:col>11</xdr:col>
      <xdr:colOff>1789019</xdr:colOff>
      <xdr:row>4</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75" y="0"/>
          <a:ext cx="292249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2647950</xdr:colOff>
      <xdr:row>0</xdr:row>
      <xdr:rowOff>19050</xdr:rowOff>
    </xdr:from>
    <xdr:to>
      <xdr:col>4</xdr:col>
      <xdr:colOff>2922494</xdr:colOff>
      <xdr:row>4</xdr:row>
      <xdr:rowOff>57150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
          <a:ext cx="292249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1390650</xdr:colOff>
      <xdr:row>0</xdr:row>
      <xdr:rowOff>0</xdr:rowOff>
    </xdr:from>
    <xdr:to>
      <xdr:col>5</xdr:col>
      <xdr:colOff>1188944</xdr:colOff>
      <xdr:row>4</xdr:row>
      <xdr:rowOff>76200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0"/>
          <a:ext cx="292249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495300</xdr:colOff>
      <xdr:row>0</xdr:row>
      <xdr:rowOff>0</xdr:rowOff>
    </xdr:from>
    <xdr:to>
      <xdr:col>6</xdr:col>
      <xdr:colOff>1227044</xdr:colOff>
      <xdr:row>4</xdr:row>
      <xdr:rowOff>76200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9325" y="0"/>
          <a:ext cx="292249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560293</xdr:colOff>
      <xdr:row>0</xdr:row>
      <xdr:rowOff>89647</xdr:rowOff>
    </xdr:from>
    <xdr:to>
      <xdr:col>6</xdr:col>
      <xdr:colOff>403412</xdr:colOff>
      <xdr:row>4</xdr:row>
      <xdr:rowOff>165847</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3911" y="89647"/>
          <a:ext cx="292473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2028264</xdr:colOff>
      <xdr:row>0</xdr:row>
      <xdr:rowOff>67235</xdr:rowOff>
    </xdr:from>
    <xdr:to>
      <xdr:col>32</xdr:col>
      <xdr:colOff>1878103</xdr:colOff>
      <xdr:row>4</xdr:row>
      <xdr:rowOff>149785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51529" y="67235"/>
          <a:ext cx="292193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3990975</xdr:colOff>
      <xdr:row>0</xdr:row>
      <xdr:rowOff>0</xdr:rowOff>
    </xdr:from>
    <xdr:to>
      <xdr:col>34</xdr:col>
      <xdr:colOff>1006848</xdr:colOff>
      <xdr:row>4</xdr:row>
      <xdr:rowOff>76200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33375" y="0"/>
          <a:ext cx="292249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549088</xdr:colOff>
      <xdr:row>0</xdr:row>
      <xdr:rowOff>138393</xdr:rowOff>
    </xdr:from>
    <xdr:to>
      <xdr:col>6</xdr:col>
      <xdr:colOff>974911</xdr:colOff>
      <xdr:row>5</xdr:row>
      <xdr:rowOff>24093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2470" y="138393"/>
          <a:ext cx="292473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1162050</xdr:colOff>
      <xdr:row>0</xdr:row>
      <xdr:rowOff>0</xdr:rowOff>
    </xdr:from>
    <xdr:to>
      <xdr:col>4</xdr:col>
      <xdr:colOff>995083</xdr:colOff>
      <xdr:row>4</xdr:row>
      <xdr:rowOff>31376</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0"/>
          <a:ext cx="292249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1162050</xdr:colOff>
      <xdr:row>0</xdr:row>
      <xdr:rowOff>0</xdr:rowOff>
    </xdr:from>
    <xdr:to>
      <xdr:col>5</xdr:col>
      <xdr:colOff>658906</xdr:colOff>
      <xdr:row>4</xdr:row>
      <xdr:rowOff>76200</xdr:rowOff>
    </xdr:to>
    <xdr:pic>
      <xdr:nvPicPr>
        <xdr:cNvPr id="2" name="Picture 1">
          <a:extLst>
            <a:ext uri="{FF2B5EF4-FFF2-40B4-BE49-F238E27FC236}">
              <a16:creationId xmlns:a16="http://schemas.microsoft.com/office/drawing/2014/main" id="{4220280E-A930-4264-885F-0BD10736E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5" y="0"/>
          <a:ext cx="2930899"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é Van Kaufenbergh" refreshedDate="44965.628447685187" createdVersion="7" refreshedVersion="7" minRefreshableVersion="3" recordCount="493" xr:uid="{37F0BBA4-3A78-450A-811E-293871D15AF5}">
  <cacheSource type="worksheet">
    <worksheetSource name="Fonctionnement"/>
  </cacheSource>
  <cacheFields count="6">
    <cacheField name="Compte" numFmtId="0">
      <sharedItems containsString="0" containsBlank="1" containsNumber="1" containsInteger="1" minValue="6182" maxValue="61882" count="3">
        <n v="6182"/>
        <n v="61882"/>
        <m/>
      </sharedItems>
    </cacheField>
    <cacheField name="Intitulé de compte" numFmtId="0">
      <sharedItems containsBlank="1" count="3">
        <s v="Formation Continue"/>
        <s v="Formation"/>
        <m/>
      </sharedItems>
    </cacheField>
    <cacheField name="Montant" numFmtId="168">
      <sharedItems containsString="0" containsBlank="1" containsNumber="1" containsInteger="1" minValue="500" maxValue="1234"/>
    </cacheField>
    <cacheField name="Allocation" numFmtId="0">
      <sharedItems containsBlank="1" count="3">
        <s v="Formation -Personnel Overhead"/>
        <s v="Formation -  Hors catalogue"/>
        <m/>
      </sharedItems>
    </cacheField>
    <cacheField name="Frais généraux" numFmtId="0">
      <sharedItems containsNonDate="0" containsString="0" containsBlank="1"/>
    </cacheField>
    <cacheField name="Commentair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3">
  <r>
    <x v="0"/>
    <x v="0"/>
    <n v="1234"/>
    <x v="0"/>
    <m/>
    <m/>
  </r>
  <r>
    <x v="1"/>
    <x v="1"/>
    <n v="500"/>
    <x v="1"/>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r>
    <x v="2"/>
    <x v="2"/>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2265200-9DA6-4D8F-9558-FCC6B3E6861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N10:Q14" firstHeaderRow="1" firstDataRow="2" firstDataCol="1" rowPageCount="1" colPageCount="1"/>
  <pivotFields count="6">
    <pivotField axis="axisPage" multipleItemSelectionAllowed="1" showAll="0">
      <items count="4">
        <item h="1" x="2"/>
        <item x="0"/>
        <item x="1"/>
        <item t="default"/>
      </items>
    </pivotField>
    <pivotField axis="axisRow" showAll="0">
      <items count="4">
        <item x="0"/>
        <item x="2"/>
        <item x="1"/>
        <item t="default"/>
      </items>
    </pivotField>
    <pivotField dataField="1" showAll="0"/>
    <pivotField axis="axisCol" showAll="0">
      <items count="4">
        <item x="1"/>
        <item x="0"/>
        <item x="2"/>
        <item t="default"/>
      </items>
    </pivotField>
    <pivotField showAll="0"/>
    <pivotField showAll="0"/>
  </pivotFields>
  <rowFields count="1">
    <field x="1"/>
  </rowFields>
  <rowItems count="3">
    <i>
      <x/>
    </i>
    <i>
      <x v="2"/>
    </i>
    <i t="grand">
      <x/>
    </i>
  </rowItems>
  <colFields count="1">
    <field x="3"/>
  </colFields>
  <colItems count="3">
    <i>
      <x/>
    </i>
    <i>
      <x v="1"/>
    </i>
    <i t="grand">
      <x/>
    </i>
  </colItems>
  <pageFields count="1">
    <pageField fld="0" hier="-1"/>
  </pageFields>
  <dataFields count="1">
    <dataField name="Sum of Montant" fld="2" baseField="1" baseItem="0" numFmtId="16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formationSEA" displayName="InformationSEA" ref="B7:L48" totalsRowCount="1" headerRowDxfId="318" dataDxfId="317" totalsRowDxfId="316">
  <autoFilter ref="B7:L47" xr:uid="{00000000-0009-0000-0100-000001000000}"/>
  <tableColumns count="11">
    <tableColumn id="1" xr3:uid="{00000000-0010-0000-0000-000001000000}" name="N°" totalsRowLabel="Total" dataDxfId="315" totalsRowDxfId="314">
      <calculatedColumnFormula>IF(InformationSEA[[#This Row],[Nom]]="","",MAX($B$7:B7)+1)</calculatedColumnFormula>
    </tableColumn>
    <tableColumn id="2" xr3:uid="{00000000-0010-0000-0000-000002000000}" name="Nom" dataDxfId="313" totalsRowDxfId="312"/>
    <tableColumn id="3" xr3:uid="{00000000-0010-0000-0000-000003000000}" name="Adresse" dataDxfId="311" totalsRowDxfId="310"/>
    <tableColumn id="4" xr3:uid="{00000000-0010-0000-0000-000004000000}" name="Code Postal" dataDxfId="309" totalsRowDxfId="308"/>
    <tableColumn id="5" xr3:uid="{00000000-0010-0000-0000-000005000000}" name="Ville" dataDxfId="307" totalsRowDxfId="306"/>
    <tableColumn id="6" xr3:uid="{00000000-0010-0000-0000-000006000000}" name="N° Agrément" dataDxfId="305" totalsRowDxfId="304"/>
    <tableColumn id="7" xr3:uid="{00000000-0010-0000-0000-000007000000}" name="Capacité maximale_x000a_(Agrément)" totalsRowFunction="sum" dataDxfId="303" totalsRowDxfId="302"/>
    <tableColumn id="8" xr3:uid="{00000000-0010-0000-0000-000008000000}" name="HPE réelles 2024" totalsRowFunction="sum" dataDxfId="301" totalsRowDxfId="300" dataCellStyle="Comma"/>
    <tableColumn id="9" xr3:uid="{00000000-0010-0000-0000-000009000000}" name="Inclusion_x000a_(Oui/Non)" dataDxfId="299" totalsRowDxfId="298"/>
    <tableColumn id="10" xr3:uid="{00000000-0010-0000-0000-00000A000000}" name="Date d'accord inclusion" dataDxfId="297" totalsRowDxfId="296"/>
    <tableColumn id="11" xr3:uid="{00000000-0010-0000-0000-00000B000000}" name="Heures inclusion accordées" totalsRowFunction="sum" dataDxfId="295" totalsRowDxfId="294" dataCellStyle="Comma">
      <calculatedColumnFormula>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PI" displayName="BPI" ref="B14:F65" totalsRowCount="1" headerRowDxfId="288" dataDxfId="287" totalsRowDxfId="286">
  <autoFilter ref="B14:F64" xr:uid="{00000000-0009-0000-0100-000002000000}"/>
  <tableColumns count="5">
    <tableColumn id="1" xr3:uid="{00000000-0010-0000-0100-000001000000}" name="N°" totalsRowLabel="Total" dataDxfId="285" totalsRowDxfId="284"/>
    <tableColumn id="2" xr3:uid="{00000000-0010-0000-0100-000002000000}" name="Initiales du nom de l'enfant" totalsRowFunction="count" dataDxfId="283" totalsRowDxfId="282"/>
    <tableColumn id="3" xr3:uid="{00000000-0010-0000-0100-000003000000}" name="du" dataDxfId="281" totalsRowDxfId="280"/>
    <tableColumn id="4" xr3:uid="{00000000-0010-0000-0100-000004000000}" name="au" dataDxfId="279" totalsRowDxfId="278"/>
    <tableColumn id="5" xr3:uid="{00000000-0010-0000-0100-000005000000}" name="Aide étatique" totalsRowFunction="sum" dataDxfId="277" totalsRowDxfId="276" dataCellStyle="Currency">
      <calculatedColumnFormula>IF(COUNTA(BPI[[#This Row],[Initiales du nom de l''enfant]:[au]])=3,(MONTH(BPI[[#This Row],[au]])-MONTH(BPI[[#This Row],[du]])+1)*100,"")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BS" displayName="EBS" ref="B8:G109" totalsRowCount="1" headerRowDxfId="275" dataDxfId="274" totalsRowDxfId="273">
  <autoFilter ref="B8:G108" xr:uid="{00000000-0009-0000-0100-000003000000}"/>
  <tableColumns count="6">
    <tableColumn id="1" xr3:uid="{00000000-0010-0000-0200-000001000000}" name="N°" totalsRowLabel="Total" dataDxfId="272" totalsRowDxfId="271"/>
    <tableColumn id="2" xr3:uid="{00000000-0010-0000-0200-000002000000}" name="Initiales" dataDxfId="270" totalsRowDxfId="269"/>
    <tableColumn id="3" xr3:uid="{00000000-0010-0000-0200-000003000000}" name="du" dataDxfId="268" totalsRowDxfId="267"/>
    <tableColumn id="4" xr3:uid="{00000000-0010-0000-0200-000004000000}" name="au" dataDxfId="266" totalsRowDxfId="265"/>
    <tableColumn id="5" xr3:uid="{00000000-0010-0000-0200-000005000000}" name="hrs/sem _x000a_accordées" totalsRowFunction="sum" dataDxfId="264" totalsRowDxfId="263"/>
    <tableColumn id="6" xr3:uid="{00000000-0010-0000-0200-000006000000}" name="heures annuelles" totalsRowFunction="sum" dataDxfId="262" totalsRowDxfId="261" dataCellStyle="Comma">
      <calculatedColumnFormula>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ADD7692-C65D-4829-8E6A-FADF0E31C462}" name="Table16" displayName="Table16" ref="B10:I150" totalsRowShown="0" headerRowDxfId="260" dataDxfId="259">
  <autoFilter ref="B10:I150" xr:uid="{CADD7692-C65D-4829-8E6A-FADF0E31C462}"/>
  <tableColumns count="8">
    <tableColumn id="1" xr3:uid="{8D12B9ED-3A63-42C5-B8BB-CB6062DFCD58}" name="Nom de la formation" dataDxfId="258"/>
    <tableColumn id="2" xr3:uid="{0738EB5D-1C0B-4A01-BA1F-E415E9D27BC6}" name="Heures" dataDxfId="257"/>
    <tableColumn id="3" xr3:uid="{C4DB2AB6-CBA1-467C-AF9F-F0FB48F638CC}" name="Personne concerné" dataDxfId="256"/>
    <tableColumn id="7" xr3:uid="{05FEC8F9-C409-4895-B965-5852BF50A9D8}" name="Allocation Fonction" dataDxfId="255"/>
    <tableColumn id="4" xr3:uid="{4A27749C-663B-4874-B182-BA6AB36EE5B9}" name="coûts" dataDxfId="254"/>
    <tableColumn id="8" xr3:uid="{BBED4355-4A51-4EBF-8F74-9851596E83A0}" name="Référence Grand-Livre" dataDxfId="253"/>
    <tableColumn id="5" xr3:uid="{64DD5665-7C48-469B-B715-51FC9BD46B5D}" name="Institut de Formation / Formateur" dataDxfId="252"/>
    <tableColumn id="6" xr3:uid="{49A9D683-164D-4FC5-93BC-8FA24887A882}" name="Référence Formation" dataDxfId="25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onctionnement" displayName="Fonctionnement" ref="B8:G502" totalsRowCount="1" headerRowDxfId="250" dataDxfId="249" totalsRowDxfId="248">
  <autoFilter ref="B8:G501" xr:uid="{00000000-0009-0000-0100-000004000000}"/>
  <tableColumns count="6">
    <tableColumn id="1" xr3:uid="{00000000-0010-0000-0300-000001000000}" name="Compte" totalsRowLabel="Total" dataDxfId="247" totalsRowDxfId="246"/>
    <tableColumn id="2" xr3:uid="{00000000-0010-0000-0300-000002000000}" name="Intitulé de compte" dataDxfId="245" totalsRowDxfId="244"/>
    <tableColumn id="3" xr3:uid="{00000000-0010-0000-0300-000003000000}" name="Montant" totalsRowFunction="sum" dataDxfId="243" totalsRowDxfId="242" dataCellStyle="Currency"/>
    <tableColumn id="4" xr3:uid="{00000000-0010-0000-0300-000004000000}" name="Allocation" dataDxfId="241" totalsRowDxfId="240"/>
    <tableColumn id="6" xr3:uid="{00000000-0010-0000-0300-000006000000}" name="Frais généraux" dataDxfId="239" totalsRowDxfId="238"/>
    <tableColumn id="5" xr3:uid="{00000000-0010-0000-0300-000005000000}" name="Commentaire" dataDxfId="237" totalsRowDxfId="23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TSAS" displayName="CCTSAS" ref="B6:AH511" totalsRowCount="1" headerRowDxfId="231" dataDxfId="230">
  <autoFilter ref="B6:AH510" xr:uid="{00000000-0009-0000-0100-000007000000}"/>
  <tableColumns count="33">
    <tableColumn id="1" xr3:uid="{00000000-0010-0000-0400-000001000000}" name="N°" totalsRowLabel="Total" dataDxfId="229" totalsRowDxfId="32"/>
    <tableColumn id="2" xr3:uid="{00000000-0010-0000-0400-000002000000}" name="Nom" dataDxfId="228" totalsRowDxfId="31"/>
    <tableColumn id="3" xr3:uid="{00000000-0010-0000-0400-000003000000}" name="Prénom" dataDxfId="227" totalsRowDxfId="30"/>
    <tableColumn id="4" xr3:uid="{00000000-0010-0000-0400-000004000000}" name="Matricule" dataDxfId="226" totalsRowDxfId="29"/>
    <tableColumn id="5" xr3:uid="{00000000-0010-0000-0400-000005000000}" name="Carrière" dataDxfId="225" totalsRowDxfId="28"/>
    <tableColumn id="6" xr3:uid="{00000000-0010-0000-0400-000006000000}" name="Années_x000a_(Ancienneté)" dataDxfId="224" totalsRowDxfId="27"/>
    <tableColumn id="7" xr3:uid="{00000000-0010-0000-0400-000007000000}" name="Points" dataDxfId="223" totalsRowDxfId="26"/>
    <tableColumn id="8" xr3:uid="{00000000-0010-0000-0400-000008000000}" name="engagé(e) en 2024 du ..." dataDxfId="222" totalsRowDxfId="25"/>
    <tableColumn id="9" xr3:uid="{00000000-0010-0000-0400-000009000000}" name="au ..." dataDxfId="221" totalsRowDxfId="24"/>
    <tableColumn id="10" xr3:uid="{00000000-0010-0000-0400-00000A000000}" name="heures annuelles_x000a_selon contrat(s)" totalsRowFunction="sum" dataDxfId="220" totalsRowDxfId="23" dataCellStyle="Comma"/>
    <tableColumn id="30" xr3:uid="{EB166744-C769-47E2-89A9-465A189BB4F1}" name="Dont heures de contrat personnel supplémentaire Crise Ukrainienne " dataDxfId="219" totalsRowDxfId="22" dataCellStyle="Comma"/>
    <tableColumn id="31" xr3:uid="{05A2E70A-D0F3-4849-B512-CC81A239F08B}" name="Dont heures de personnel supplémentaire COVID-19_x000a_(cf. Convention - Annexe 2)" dataDxfId="218" totalsRowDxfId="21" dataCellStyle="Comma"/>
    <tableColumn id="11" xr3:uid="{00000000-0010-0000-0400-00000B000000}" name="Heures annuelles RTT" totalsRowFunction="sum" dataDxfId="217" totalsRowDxfId="20" dataCellStyle="Comma">
      <calculatedColumnFormula>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calculatedColumnFormula>
    </tableColumn>
    <tableColumn id="12" xr3:uid="{00000000-0010-0000-0400-00000C000000}" name="Heures de maladie" totalsRowFunction="sum" dataDxfId="216" totalsRowDxfId="19" dataCellStyle="Comma"/>
    <tableColumn id="28" xr3:uid="{87558AAD-0BFA-4DE2-8B67-F04A3C1A745A}" name="Heures PEP (compris dans les heures contrats)" totalsRowFunction="sum" dataDxfId="215" totalsRowDxfId="18" dataCellStyle="Comma"/>
    <tableColumn id="13" xr3:uid="{00000000-0010-0000-0400-00000D000000}" name="Autres absences motivées" totalsRowFunction="sum" dataDxfId="214" totalsRowDxfId="17"/>
    <tableColumn id="14" xr3:uid="{00000000-0010-0000-0400-00000E000000}" name="Brut" totalsRowFunction="sum" dataDxfId="213" totalsRowDxfId="16" dataCellStyle="Currency"/>
    <tableColumn id="15" xr3:uid="{00000000-0010-0000-0400-00000F000000}" name="Primes convention financement" totalsRowFunction="sum" dataDxfId="212" totalsRowDxfId="15" dataCellStyle="Currency"/>
    <tableColumn id="16" xr3:uid="{00000000-0010-0000-0400-000010000000}" name="Autres primes" totalsRowFunction="sum" dataDxfId="211" totalsRowDxfId="14" dataCellStyle="Currency"/>
    <tableColumn id="17" xr3:uid="{00000000-0010-0000-0400-000011000000}" name="Part patronale" totalsRowFunction="sum" dataDxfId="210" totalsRowDxfId="13" dataCellStyle="Currency"/>
    <tableColumn id="18" xr3:uid="{00000000-0010-0000-0400-000012000000}" name="Remboursement_x000a_Mutualité" totalsRowFunction="sum" dataDxfId="209" totalsRowDxfId="12" dataCellStyle="Currency"/>
    <tableColumn id="29" xr3:uid="{ACDAC630-AA16-46B9-A5E5-4E4979060C06}" name="Remboursement Formateur accrédité par SNJ" dataDxfId="208" totalsRowDxfId="11" dataCellStyle="Currency"/>
    <tableColumn id="19" xr3:uid="{00000000-0010-0000-0400-000013000000}" name="Remboursement_x000a_Autres" totalsRowFunction="sum" dataDxfId="207" totalsRowDxfId="10" dataCellStyle="Currency"/>
    <tableColumn id="20" xr3:uid="{00000000-0010-0000-0400-000014000000}" name="Total global" totalsRowFunction="sum" dataDxfId="206" totalsRowDxfId="9" dataCellStyle="Currency">
      <calculatedColumnFormula>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calculatedColumnFormula>
    </tableColumn>
    <tableColumn id="21" xr3:uid="{00000000-0010-0000-0400-000015000000}" name="Dont non opposable" totalsRowFunction="sum" dataDxfId="205" totalsRowDxfId="8" dataCellStyle="Currency"/>
    <tableColumn id="22" xr3:uid="{00000000-0010-0000-0400-000016000000}" name="Total éligible" totalsRowFunction="sum" dataDxfId="204" totalsRowDxfId="7" dataCellStyle="Currency">
      <calculatedColumnFormula>IF(COUNTA(CCTSAS[[#This Row],[Nom]:[heures annuelles
selon contrat(s)]])=0,"",CCTSAS[[#This Row],[Total global]]-ABS(CCTSAS[[#This Row],[Dont non opposable]]))</calculatedColumnFormula>
    </tableColumn>
    <tableColumn id="23" xr3:uid="{00000000-0010-0000-0400-000017000000}" name="Nom de la structure" dataDxfId="203" totalsRowDxfId="6"/>
    <tableColumn id="24" xr3:uid="{00000000-0010-0000-0400-000018000000}" name="Allocation fonctions" dataDxfId="202" totalsRowDxfId="5"/>
    <tableColumn id="27" xr3:uid="{00000000-0010-0000-0400-00001B000000}" name="Frais Personnel supplémentaire Crise Ukrainienne " dataDxfId="201" totalsRowDxfId="4"/>
    <tableColumn id="32" xr3:uid="{A5997E31-1E80-4EF2-BE74-C57D5856DC39}" name="Frais de personnel supplémentaire COVID-19" dataDxfId="200" totalsRowDxfId="3"/>
    <tableColumn id="33" xr3:uid="{B32F3E38-6B0A-4497-8218-2CF57310891D}" name="Frais généraux" dataDxfId="199" totalsRowDxfId="2"/>
    <tableColumn id="25" xr3:uid="{00000000-0010-0000-0400-000019000000}" name="Commentaire" dataDxfId="198" totalsRowDxfId="1"/>
    <tableColumn id="26" xr3:uid="{00000000-0010-0000-0400-00001A000000}" name="Code Convention" totalsRowFunction="count" dataDxfId="197" totalsRowDxfId="0">
      <calculatedColumnFormula>IF(COUNTA(CCTSAS[[#This Row],[Nom]:[heures annuelles
selon contrat(s)]])=0,"",REVEX!$E$9)</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SalCommune" displayName="SalCommune" ref="B6:AI771" totalsRowCount="1" headerRowDxfId="193" dataDxfId="192">
  <autoFilter ref="B6:AI770" xr:uid="{00000000-0009-0000-0100-00000A000000}"/>
  <tableColumns count="34">
    <tableColumn id="1" xr3:uid="{00000000-0010-0000-0500-000001000000}" name="N°" totalsRowLabel="Total" dataDxfId="191" totalsRowDxfId="190"/>
    <tableColumn id="2" xr3:uid="{00000000-0010-0000-0500-000002000000}" name="Nom" dataDxfId="189" totalsRowDxfId="188"/>
    <tableColumn id="3" xr3:uid="{00000000-0010-0000-0500-000003000000}" name="Prénom" dataDxfId="187" totalsRowDxfId="186"/>
    <tableColumn id="4" xr3:uid="{00000000-0010-0000-0500-000004000000}" name="Matricule" dataDxfId="185" totalsRowDxfId="184"/>
    <tableColumn id="5" xr3:uid="{00000000-0010-0000-0500-000005000000}" name="Statut" dataDxfId="183" totalsRowDxfId="182"/>
    <tableColumn id="6" xr3:uid="{00000000-0010-0000-0500-000006000000}" name="Carrière" dataDxfId="181" totalsRowDxfId="180"/>
    <tableColumn id="7" xr3:uid="{00000000-0010-0000-0500-000007000000}" name="Heures de congé de maternité" dataDxfId="179" totalsRowDxfId="178" dataCellStyle="Comma"/>
    <tableColumn id="8" xr3:uid="{00000000-0010-0000-0500-000008000000}" name="Années_x000a_(Ancienneté)" dataDxfId="177" totalsRowDxfId="176" dataCellStyle="Comma"/>
    <tableColumn id="9" xr3:uid="{00000000-0010-0000-0500-000009000000}" name="Points" dataDxfId="175" totalsRowDxfId="174" dataCellStyle="Comma"/>
    <tableColumn id="10" xr3:uid="{00000000-0010-0000-0500-00000A000000}" name="engagé(e) en 2024 du ..." dataDxfId="173" totalsRowDxfId="172"/>
    <tableColumn id="11" xr3:uid="{00000000-0010-0000-0500-00000B000000}" name="au ..." dataDxfId="171" totalsRowDxfId="170"/>
    <tableColumn id="27" xr3:uid="{00000000-0010-0000-0500-00001B000000}" name="heures annuelles_x000a_selon contrat(s)" totalsRowFunction="sum" dataDxfId="169" totalsRowDxfId="168" dataCellStyle="Comma"/>
    <tableColumn id="30" xr3:uid="{B0E84982-2F74-4C09-928B-01A74478CF72}" name="Dont heures de contrat personnel supplémentaire Crise Ukrainienne " dataDxfId="167" totalsRowDxfId="166" dataCellStyle="Comma"/>
    <tableColumn id="29" xr3:uid="{1ADB7C47-53E6-4B6E-A0E7-574F7F5D6372}" name="Dont heures de personnel supplémentaire COVID-19_x000a_(cf. Convention - Annexe 2)" dataDxfId="165" totalsRowDxfId="164" dataCellStyle="Comma"/>
    <tableColumn id="12" xr3:uid="{00000000-0010-0000-0500-00000C000000}" name="Heures annuelles RTT" totalsRowFunction="sum" dataDxfId="163" totalsRowDxfId="162" dataCellStyle="Comma">
      <calculatedColumnFormula>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calculatedColumnFormula>
    </tableColumn>
    <tableColumn id="13" xr3:uid="{00000000-0010-0000-0500-00000D000000}" name="Heures de maladie" totalsRowFunction="sum" dataDxfId="161" totalsRowDxfId="160" dataCellStyle="Comma"/>
    <tableColumn id="33" xr3:uid="{622E7A33-2B3D-4170-81B4-233B8FB51EBD}" name="Heures PEP (compris dans les heures contrats)" totalsRowFunction="sum" dataDxfId="159" totalsRowDxfId="158" dataCellStyle="Comma"/>
    <tableColumn id="28" xr3:uid="{1E5CF72B-E141-41AE-9E75-AC6486DFCE05}" name="Autres heures d'absences motivées" dataDxfId="157" totalsRowDxfId="156" dataCellStyle="Comma"/>
    <tableColumn id="14" xr3:uid="{00000000-0010-0000-0500-00000E000000}" name="Brut" totalsRowFunction="sum" dataDxfId="155" totalsRowDxfId="154" dataCellStyle="Currency"/>
    <tableColumn id="15" xr3:uid="{00000000-0010-0000-0500-00000F000000}" name="Autres Primes" totalsRowFunction="sum" dataDxfId="153" totalsRowDxfId="152" dataCellStyle="Currency"/>
    <tableColumn id="16" xr3:uid="{00000000-0010-0000-0500-000010000000}" name="Part patronale" totalsRowFunction="sum" dataDxfId="151" totalsRowDxfId="150" dataCellStyle="Currency"/>
    <tableColumn id="17" xr3:uid="{00000000-0010-0000-0500-000011000000}" name="Remboursement Mutualité _x000a_(SALARIÉ(E)S)" totalsRowFunction="sum" dataDxfId="149" totalsRowDxfId="148" dataCellStyle="Currency"/>
    <tableColumn id="35" xr3:uid="{D3933B85-0694-40AD-88DA-BCB15CF21D02}" name="Remboursement Formateur accrédité par SNJ" dataDxfId="147" totalsRowDxfId="146" dataCellStyle="Currency"/>
    <tableColumn id="18" xr3:uid="{00000000-0010-0000-0500-000012000000}" name="Remboursement_x000a_Autres" totalsRowFunction="sum" dataDxfId="145" totalsRowDxfId="144" dataCellStyle="Currency"/>
    <tableColumn id="19" xr3:uid="{00000000-0010-0000-0500-000013000000}" name="Total global" totalsRowFunction="sum" dataDxfId="143" totalsRowDxfId="142" dataCellStyle="Currency">
      <calculatedColumnFormula>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calculatedColumnFormula>
    </tableColumn>
    <tableColumn id="20" xr3:uid="{00000000-0010-0000-0500-000014000000}" name="Dont non opposable" totalsRowFunction="sum" dataDxfId="141" totalsRowDxfId="140" dataCellStyle="Currency"/>
    <tableColumn id="21" xr3:uid="{00000000-0010-0000-0500-000015000000}" name="Total éligible" totalsRowFunction="sum" dataDxfId="139" totalsRowDxfId="138" dataCellStyle="Currency">
      <calculatedColumnFormula>IF(COUNTA(SalCommune[[#This Row],[Nom]:[heures annuelles
selon contrat(s)]])=0,"",SalCommune[[#This Row],[Total global]]-ABS(SalCommune[[#This Row],[Dont non opposable]]))</calculatedColumnFormula>
    </tableColumn>
    <tableColumn id="22" xr3:uid="{00000000-0010-0000-0500-000016000000}" name="Nom de la structure" dataDxfId="137" totalsRowDxfId="136"/>
    <tableColumn id="23" xr3:uid="{00000000-0010-0000-0500-000017000000}" name="Allocations fonctions" dataDxfId="135" totalsRowDxfId="134"/>
    <tableColumn id="31" xr3:uid="{DFCF4346-DFD6-4E00-B260-C6C11DE3790D}" name="Frais de personnel supplémentaire Crise Ukrainienne" dataDxfId="133" totalsRowDxfId="132"/>
    <tableColumn id="24" xr3:uid="{00000000-0010-0000-0500-000018000000}" name="Frais de personnel supplémentaire COVID-19" dataDxfId="131" totalsRowDxfId="130"/>
    <tableColumn id="32" xr3:uid="{832AAF89-9B12-4043-8CA2-B3F6788BC160}" name="Frais généraux" dataDxfId="129" totalsRowDxfId="128"/>
    <tableColumn id="25" xr3:uid="{00000000-0010-0000-0500-000019000000}" name="Commentaire" dataDxfId="127" totalsRowDxfId="126"/>
    <tableColumn id="26" xr3:uid="{00000000-0010-0000-0500-00001A000000}" name="Code Convention" dataDxfId="125" totalsRowDxfId="124">
      <calculatedColumnFormula>IF(COUNTA(SalCommune[[#This Row],[N°]:[heures annuelles
selon contrat(s)]])=0,"",REVEX!$E$9)</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Recettes" displayName="Recettes" ref="B8:G101" totalsRowCount="1" headerRowDxfId="123" dataDxfId="122" totalsRowDxfId="121">
  <autoFilter ref="B8:G100" xr:uid="{00000000-0009-0000-0100-00000B000000}"/>
  <tableColumns count="6">
    <tableColumn id="1" xr3:uid="{00000000-0010-0000-0600-000001000000}" name="Compte" totalsRowLabel="Total" dataDxfId="120" totalsRowDxfId="119"/>
    <tableColumn id="2" xr3:uid="{00000000-0010-0000-0600-000002000000}" name="Intitulé de compte" dataDxfId="118" totalsRowDxfId="117"/>
    <tableColumn id="3" xr3:uid="{00000000-0010-0000-0600-000003000000}" name="Montant" totalsRowFunction="sum" dataDxfId="116" totalsRowDxfId="115" dataCellStyle="Currency"/>
    <tableColumn id="4" xr3:uid="{00000000-0010-0000-0600-000004000000}" name="Allocation" dataDxfId="114" totalsRowDxfId="113"/>
    <tableColumn id="5" xr3:uid="{00000000-0010-0000-0600-000005000000}" name="Frais généraux" dataDxfId="112" totalsRowDxfId="111"/>
    <tableColumn id="6" xr3:uid="{00000000-0010-0000-0600-000006000000}" name="Commentaire" totalsRowFunction="count" dataDxfId="110" totalsRowDxfId="10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DROPDOWN" displayName="DROPDOWN" ref="A1:M83" totalsRowShown="0" headerRowDxfId="104">
  <autoFilter ref="A1:M83" xr:uid="{00000000-0009-0000-0100-000006000000}"/>
  <tableColumns count="13">
    <tableColumn id="1" xr3:uid="{00000000-0010-0000-0700-000001000000}" name="Dropdown1"/>
    <tableColumn id="2" xr3:uid="{00000000-0010-0000-0700-000002000000}" name="Dropdown2"/>
    <tableColumn id="3" xr3:uid="{00000000-0010-0000-0700-000003000000}" name="Dropdown3"/>
    <tableColumn id="4" xr3:uid="{00000000-0010-0000-0700-000004000000}" name="Dropdown5"/>
    <tableColumn id="5" xr3:uid="{00000000-0010-0000-0700-000005000000}" name="dropdown6"/>
    <tableColumn id="6" xr3:uid="{00000000-0010-0000-0700-000006000000}" name="Dropdown7"/>
    <tableColumn id="7" xr3:uid="{00000000-0010-0000-0700-000007000000}" name="Dropdown8"/>
    <tableColumn id="13" xr3:uid="{23B47A57-7CE7-4C4A-B07C-4AE629155C18}" name="Dropdown82"/>
    <tableColumn id="8" xr3:uid="{00000000-0010-0000-0700-000008000000}" name="Dropdown9"/>
    <tableColumn id="9" xr3:uid="{00000000-0010-0000-0700-000009000000}" name="Dropdown10"/>
    <tableColumn id="10" xr3:uid="{00000000-0010-0000-0700-00000A000000}" name="Dropdown11"/>
    <tableColumn id="11" xr3:uid="{00000000-0010-0000-0700-00000B000000}" name="Dropdown12"/>
    <tableColumn id="12" xr3:uid="{00000000-0010-0000-0700-00000C000000}" name="Dropdown1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VariablesInternes" displayName="VariablesInternes" ref="O1:R26" totalsRowCount="1" headerRowDxfId="103" dataDxfId="102" totalsRowDxfId="101">
  <autoFilter ref="O1:R25" xr:uid="{00000000-0009-0000-0100-000008000000}"/>
  <tableColumns count="4">
    <tableColumn id="1" xr3:uid="{00000000-0010-0000-0800-000001000000}" name="Fonction" totalsRowLabel="Total" dataDxfId="100" totalsRowDxfId="99"/>
    <tableColumn id="2" xr3:uid="{00000000-0010-0000-0800-000002000000}" name="FF" totalsRowFunction="sum" dataDxfId="98" totalsRowDxfId="97" dataCellStyle="Currency">
      <calculatedColumnFormula>SUMIF(Fonctionnement[Allocation],O2,Fonctionnement[Montant])</calculatedColumnFormula>
    </tableColumn>
    <tableColumn id="3" xr3:uid="{00000000-0010-0000-0800-000003000000}" name="FP SAS" totalsRowFunction="sum" dataDxfId="96" totalsRowDxfId="95" dataCellStyle="Currency">
      <calculatedColumnFormula>SUMIF(CCTSAS[Allocation fonctions],VariablesInternes[[#This Row],[Fonction]],CCTSAS[Total éligible])</calculatedColumnFormula>
    </tableColumn>
    <tableColumn id="4" xr3:uid="{00000000-0010-0000-0800-000004000000}" name="FP Commune" totalsRowFunction="sum" dataDxfId="94" totalsRowDxfId="93" dataCellStyle="Currency">
      <calculatedColumnFormula>SUMIF(SalCommune[Allocations fonctions],VariablesInternes[[#This Row],[Fonction]],SalCommune[Total éligible])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RecettesInterne" displayName="RecettesInterne" ref="T1:U12" totalsRowCount="1" headerRowDxfId="92">
  <autoFilter ref="T1:U11" xr:uid="{00000000-0009-0000-0100-00000C000000}"/>
  <tableColumns count="2">
    <tableColumn id="1" xr3:uid="{00000000-0010-0000-0A00-000001000000}" name="Fonction" totalsRowLabel="Total"/>
    <tableColumn id="2" xr3:uid="{00000000-0010-0000-0A00-000002000000}" name="Recettes" totalsRowFunction="sum" totalsRowDxfId="91" dataCellStyle="Currency">
      <calculatedColumnFormula>SUMIF(Recettes[Allocation],RecettesInterne[[#This Row],[Fonction]],Recettes[Montant])</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415CB2-038A-40C2-9167-E04D6A5A5462}" name="VariablesInternesCOVID" displayName="VariablesInternesCOVID" ref="W1:AC25" totalsRowCount="1" headerRowDxfId="90">
  <autoFilter ref="W1:AC24" xr:uid="{76E5824D-E7FF-49C3-812F-A274E2F57095}"/>
  <tableColumns count="7">
    <tableColumn id="1" xr3:uid="{74C70B77-5E42-47FF-9730-405A4F5B6809}" name="Fonction FF" totalsRowLabel="Total"/>
    <tableColumn id="5" xr3:uid="{4660C5B5-B98C-4428-9818-1A1342A4DC51}" name="Fonction FP"/>
    <tableColumn id="2" xr3:uid="{D2FF8914-03C7-473F-B528-F70CE88D37B7}" name="FF" totalsRowFunction="sum" dataDxfId="89" totalsRowDxfId="88" dataCellStyle="Currency">
      <calculatedColumnFormula>SUMIF(Fonctionnement[Allocation],W2,Fonctionnement[Montant])</calculatedColumnFormula>
    </tableColumn>
    <tableColumn id="3" xr3:uid="{9C4C337E-C27E-4C68-9CEF-3327E51C0B41}" name="Frais Personnel supplémentaire Crise Ukrainienne CCT SAS" totalsRowFunction="sum" dataDxfId="87" totalsRowDxfId="86" dataCellStyle="Currency">
      <calculatedColumnFormula>SUMIF(CCTSAS[Allocation fonctions],VariablesInternesCOVID[[#This Row],[Fonction FP]],CCTSAS[[Frais Personnel supplémentaire Crise Ukrainienne ]])</calculatedColumnFormula>
    </tableColumn>
    <tableColumn id="6" xr3:uid="{A153E549-9F9A-404D-92FF-651F627862EF}" name="Frais de personnel supplémentaire COVID-19 CCT SAS" totalsRowFunction="sum" dataDxfId="85" totalsRowDxfId="84" dataCellStyle="Currency">
      <calculatedColumnFormula>SUMIF(CCTSAS[Allocation fonctions],VariablesInternesCOVID[[#This Row],[Fonction FP]],CCTSAS[Frais de personnel supplémentaire COVID-19])</calculatedColumnFormula>
    </tableColumn>
    <tableColumn id="4" xr3:uid="{8B8B75C9-C080-4D1F-BF67-7C25BDFD4358}" name="Frais Personnel supplémentaire Crise Ukrainienne COMMUNE" totalsRowFunction="sum" dataDxfId="83" totalsRowDxfId="82" dataCellStyle="Currency">
      <calculatedColumnFormula>SUMIF(SalCommune[Allocations fonctions],VariablesInternesCOVID[[#This Row],[Fonction FP]],SalCommune[Frais de personnel supplémentaire Crise Ukrainienne])</calculatedColumnFormula>
    </tableColumn>
    <tableColumn id="7" xr3:uid="{20F36FBA-012D-471E-A316-882E842FA9D0}" name="Frais de personnel supplémentaire COVID-19 COMMUNE" totalsRowFunction="sum" dataDxfId="81" totalsRowDxfId="80" dataCellStyle="Currency">
      <calculatedColumnFormula>SUMIF(SalCommune[Allocations fonctions],VariablesInternesCOVID[[#This Row],[Fonction FP]],SalCommune[Frais de personnel supplémentaire COVID-19])</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324293D-7587-47B6-8F30-BEC1EC01B2F2}" name="Overhead616" displayName="Overhead616" ref="AF3:AL69" totalsRowCount="1" headerRowDxfId="79">
  <autoFilter ref="AF3:AL68" xr:uid="{5388A1D4-53CE-41D6-848E-7A152AF46A23}"/>
  <tableColumns count="7">
    <tableColumn id="1" xr3:uid="{8B703636-B244-44BA-B6C7-6526B982612D}" name="Fonction" totalsRowLabel="Total" totalsRowDxfId="78"/>
    <tableColumn id="2" xr3:uid="{90FCE97F-9549-4C74-8BDF-45FECF1BC648}" name="Frais directement liés à l'activité - Encadrement" totalsRowFunction="sum" dataDxfId="77" totalsRowDxfId="76" dataCellStyle="Currency">
      <calculatedColumnFormula>SUMIFS(Fonctionnement[Montant],Fonctionnement[Allocation],Overhead616[[#This Row],[Fonction]],Fonctionnement[Frais généraux],Overhead616[[#Headers],[Frais directement liés à l''activité - Encadrement]])</calculatedColumnFormula>
    </tableColumn>
    <tableColumn id="3" xr3:uid="{29FAB422-C22F-40B0-BE2B-F6D95808B8F7}" name="Frais directement liés à l'activité - Logistique" totalsRowFunction="sum" dataDxfId="75" totalsRowDxfId="74" dataCellStyle="Currency">
      <calculatedColumnFormula>SUMIFS(Fonctionnement[Montant],Fonctionnement[Allocation],Overhead616[[#This Row],[Fonction]],Fonctionnement[Frais généraux],Overhead616[[#Headers],[Frais directement liés à l''activité - Logistique]])</calculatedColumnFormula>
    </tableColumn>
    <tableColumn id="4" xr3:uid="{65753C5C-30C1-4DEA-AEA3-E2475298072F}" name="Frais indirectement liés à l'activité - Prévues par la loi " totalsRowFunction="sum" dataDxfId="73" totalsRowDxfId="72" dataCellStyle="Currency">
      <calculatedColumnFormula>SUMIFS(Fonctionnement[Montant],Fonctionnement[Allocation],Overhead616[[#This Row],[Fonction]],Fonctionnement[Frais généraux],Overhead616[[#Headers],[Frais indirectement liés à l''activité - Prévues par la loi ]])</calculatedColumnFormula>
    </tableColumn>
    <tableColumn id="5" xr3:uid="{98A53358-01C5-4B8A-A3F0-16E0FCF58484}" name="Frais indirectement liés à l'activité - Autres fonctions - Administration / Logistique" totalsRowFunction="sum" dataDxfId="71" totalsRowDxfId="70" dataCellStyle="Currency">
      <calculatedColumnFormula>SUMIFS(Fonctionnement[Montant],Fonctionnement[Allocation],Overhead616[[#This Row],[Fonction]],Fonctionnement[Frais généraux],Overhead616[[#Headers],[Frais indirectement liés à l''activité - Autres fonctions - Administration / Logistique]])</calculatedColumnFormula>
    </tableColumn>
    <tableColumn id="6" xr3:uid="{6B9494A2-8F26-4187-B5A2-5C183F79C93D}" name="Frais indirectement liés à l'activité - Autres fonctions - Chargé(e) de direction" totalsRowFunction="sum" dataDxfId="69" totalsRowDxfId="68" dataCellStyle="Currency">
      <calculatedColumnFormula>SUMIFS(Fonctionnement[Montant],Fonctionnement[Allocation],Overhead616[[#This Row],[Fonction]],Fonctionnement[Frais généraux],Overhead616[[#Headers],[Frais indirectement liés à l''activité - Autres fonctions - Chargé(e) de direction]])</calculatedColumnFormula>
    </tableColumn>
    <tableColumn id="7" xr3:uid="{04C056CE-A836-4C2E-BBD1-831140E7C9B3}" name="Frais indirectement liés à l'activité - Autres fonctions - Direction générale" totalsRowFunction="sum" dataDxfId="67" totalsRowDxfId="66" dataCellStyle="Currency">
      <calculatedColumnFormula>SUMIFS(Fonctionnement[Montant],Fonctionnement[Allocation],Overhead616[[#This Row],[Fonction]],Fonctionnement[Frais généraux],Overhead616[[#Headers],[Frais indirectement liés à l''activité - Autres fonctions - Direction générale]])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9D33424-E956-4288-B159-D5076B4C2F04}" name="Table9" displayName="Table9" ref="A87:C90" totalsRowShown="0">
  <autoFilter ref="A87:C90" xr:uid="{E9D33424-E956-4288-B159-D5076B4C2F04}"/>
  <tableColumns count="3">
    <tableColumn id="1" xr3:uid="{6EC24577-E97C-41AE-A180-81CBDC6BA318}" name="Groupe"/>
    <tableColumn id="2" xr3:uid="{D4DCDB55-2F3E-462E-BC43-8B0642917B24}" name="HEB"/>
    <tableColumn id="3" xr3:uid="{C3C939B2-E133-4CDC-9009-408826B69486}" name="taux" dataDxfId="6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ETPRECAP" displayName="ETPRECAP" ref="B17:L131" totalsRowShown="0" headerRowDxfId="64" dataDxfId="63">
  <autoFilter ref="B17:L131" xr:uid="{00000000-0009-0000-0100-00000D000000}"/>
  <tableColumns count="11">
    <tableColumn id="1" xr3:uid="{00000000-0010-0000-0B00-000001000000}" name="Carrière" dataDxfId="62"/>
    <tableColumn id="2" xr3:uid="{00000000-0010-0000-0B00-000002000000}" name="Type de convention" dataDxfId="61"/>
    <tableColumn id="3" xr3:uid="{00000000-0010-0000-0B00-000003000000}" name="Heures ETP" dataDxfId="60"/>
    <tableColumn id="4" xr3:uid="{00000000-0010-0000-0B00-000004000000}" name="%" dataDxfId="59">
      <calculatedColumnFormula>ETPRECAP[[#This Row],[Heures ETP]]/$D$15</calculatedColumnFormula>
    </tableColumn>
    <tableColumn id="5" xr3:uid="{00000000-0010-0000-0B00-000005000000}" name="Nombre ETP" dataDxfId="58" dataCellStyle="Comma">
      <calculatedColumnFormula>ETPRECAP[[#This Row],[Heures ETP]]/RTT!$D$7</calculatedColumnFormula>
    </tableColumn>
    <tableColumn id="6" xr3:uid="{00000000-0010-0000-0B00-000006000000}" name="Nombre empl." dataDxfId="57" dataCellStyle="Comma">
      <calculatedColumnFormula>COUNTIF(CCTSAS[Carrière],ETPRECAP[[#This Row],[Carrière]])</calculatedColumnFormula>
    </tableColumn>
    <tableColumn id="7" xr3:uid="{00000000-0010-0000-0B00-000007000000}" name="moyenne Ancienneté" dataDxfId="56" dataCellStyle="Comma">
      <calculatedColumnFormula>IF(ETPRECAP[[#This Row],[Nombre empl.]]=0,0,SUMIF(CCTSAS[Carrière],ETPRECAP[[#This Row],[Carrière]],CCTSAS[Années
(Ancienneté)])/ETPRECAP[[#This Row],[Nombre empl.]])</calculatedColumnFormula>
    </tableColumn>
    <tableColumn id="8" xr3:uid="{00000000-0010-0000-0B00-000008000000}" name="Heures ETP Encadrement" dataDxfId="55" dataCellStyle="Comma">
      <calculatedColumnFormula>SUMIFS(CCTSAS[heures annuelles
selon contrat(s)],CCTSAS[Allocation fonctions],"Encadrement",CCTSAS[Carrière],ETPRECAP[[#This Row],[Carrière]])</calculatedColumnFormula>
    </tableColumn>
    <tableColumn id="9" xr3:uid="{00000000-0010-0000-0B00-000009000000}" name="% Encadrement" dataDxfId="54" dataCellStyle="Percent">
      <calculatedColumnFormula>ETPRECAP[[#This Row],[Heures ETP Encadrement]]/$I$15</calculatedColumnFormula>
    </tableColumn>
    <tableColumn id="10" xr3:uid="{00000000-0010-0000-0B00-00000A000000}" name="Nombre ETP Encadrement" dataDxfId="53" dataCellStyle="Comma">
      <calculatedColumnFormula>ETPRECAP[[#This Row],[Heures ETP Encadrement]]/RTT!$D$7</calculatedColumnFormula>
    </tableColumn>
    <tableColumn id="11" xr3:uid="{00000000-0010-0000-0B00-00000B000000}" name="Qualifié / Non qualifié" dataDxfId="5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Overhead6" displayName="Overhead6" ref="B285:H351" totalsRowCount="1" headerRowDxfId="46">
  <autoFilter ref="B285:H350" xr:uid="{00000000-0009-0000-0100-000005000000}"/>
  <tableColumns count="7">
    <tableColumn id="1" xr3:uid="{00000000-0010-0000-0C00-000001000000}" name="Fonction" totalsRowLabel="Total" totalsRowDxfId="45"/>
    <tableColumn id="2" xr3:uid="{00000000-0010-0000-0C00-000002000000}" name="Frais directement liés à l'activité - Encadrement" totalsRowFunction="sum" dataDxfId="44" totalsRowDxfId="43" dataCellStyle="Currency">
      <calculatedColumnFormula>SUMIFS(Fonctionnement[Montant],Fonctionnement[Allocation],Overhead6[[#This Row],[Fonction]],Fonctionnement[Frais généraux],Overhead6[[#Headers],[Frais directement liés à l''activité - Encadrement]])</calculatedColumnFormula>
    </tableColumn>
    <tableColumn id="3" xr3:uid="{00000000-0010-0000-0C00-000003000000}" name="Frais directement liés à l'activité - Logistique" totalsRowFunction="sum" dataDxfId="42" totalsRowDxfId="41" dataCellStyle="Currency">
      <calculatedColumnFormula>SUMIFS(Fonctionnement[Montant],Fonctionnement[Allocation],Overhead6[[#This Row],[Fonction]],Fonctionnement[Frais généraux],Overhead6[[#Headers],[Frais directement liés à l''activité - Logistique]])</calculatedColumnFormula>
    </tableColumn>
    <tableColumn id="4" xr3:uid="{00000000-0010-0000-0C00-000004000000}" name="Frais indirectement liés à l'activité - Prévues par la loi " totalsRowFunction="sum" dataDxfId="40" totalsRowDxfId="39" dataCellStyle="Currency">
      <calculatedColumnFormula>SUMIFS(Fonctionnement[Montant],Fonctionnement[Allocation],Overhead6[[#This Row],[Fonction]],Fonctionnement[Frais généraux],Overhead6[[#Headers],[Frais indirectement liés à l''activité - Prévues par la loi ]])</calculatedColumnFormula>
    </tableColumn>
    <tableColumn id="5" xr3:uid="{00000000-0010-0000-0C00-000005000000}" name="Frais indirectement liés à l'activité - Autres fonctions - Administration / Logistique" totalsRowFunction="sum" dataDxfId="38" totalsRowDxfId="37" dataCellStyle="Currency">
      <calculatedColumnFormula>SUMIFS(Fonctionnement[Montant],Fonctionnement[Allocation],Overhead6[[#This Row],[Fonction]],Fonctionnement[Frais généraux],Overhead6[[#Headers],[Frais indirectement liés à l''activité - Autres fonctions - Administration / Logistique]])</calculatedColumnFormula>
    </tableColumn>
    <tableColumn id="6" xr3:uid="{00000000-0010-0000-0C00-000006000000}" name="Frais indirectement liés à l'activité - Autres fonctions - Chargé(e) de direction" totalsRowFunction="sum" dataDxfId="36" totalsRowDxfId="35" dataCellStyle="Currency">
      <calculatedColumnFormula>SUMIFS(Fonctionnement[Montant],Fonctionnement[Allocation],Overhead6[[#This Row],[Fonction]],Fonctionnement[Frais généraux],Overhead6[[#Headers],[Frais indirectement liés à l''activité - Autres fonctions - Chargé(e) de direction]])</calculatedColumnFormula>
    </tableColumn>
    <tableColumn id="7" xr3:uid="{00000000-0010-0000-0C00-000007000000}" name="Frais indirectement liés à l'activité - Autres fonctions - Direction générale" totalsRowFunction="sum" dataDxfId="34" totalsRowDxfId="33" dataCellStyle="Currency">
      <calculatedColumnFormula>SUMIFS(Fonctionnement[Montant],Fonctionnement[Allocation],Overhead6[[#This Row],[Fonction]],Fonctionnement[Frais généraux],Overhead6[[#Headers],[Frais indirectement liés à l''activité - Autres fonctions - Direction générale]])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12.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B7:F63"/>
  <sheetViews>
    <sheetView tabSelected="1" zoomScaleNormal="100" workbookViewId="0">
      <selection activeCell="C12" sqref="C12:F12"/>
    </sheetView>
  </sheetViews>
  <sheetFormatPr defaultColWidth="9.140625" defaultRowHeight="15" x14ac:dyDescent="0.25"/>
  <cols>
    <col min="1" max="1" width="2.85546875" style="2" customWidth="1"/>
    <col min="2" max="2" width="69.140625" style="2" bestFit="1" customWidth="1"/>
    <col min="3" max="3" width="40.140625" style="2" customWidth="1"/>
    <col min="4" max="4" width="4.42578125" style="2" bestFit="1" customWidth="1"/>
    <col min="5" max="5" width="5.7109375" style="2" bestFit="1" customWidth="1"/>
    <col min="6" max="7" width="10.140625" style="2" bestFit="1" customWidth="1"/>
    <col min="8" max="16384" width="9.140625" style="2"/>
  </cols>
  <sheetData>
    <row r="7" spans="2:6" x14ac:dyDescent="0.25">
      <c r="B7" s="11" t="s">
        <v>0</v>
      </c>
      <c r="C7" s="11"/>
    </row>
    <row r="9" spans="2:6" ht="15.75" thickBot="1" x14ac:dyDescent="0.3"/>
    <row r="10" spans="2:6" ht="15.75" thickBot="1" x14ac:dyDescent="0.3">
      <c r="B10" s="12" t="s">
        <v>10</v>
      </c>
      <c r="C10" s="727">
        <v>2024</v>
      </c>
      <c r="D10" s="728"/>
      <c r="E10" s="728"/>
      <c r="F10" s="729"/>
    </row>
    <row r="11" spans="2:6" ht="15.75" thickBot="1" x14ac:dyDescent="0.3">
      <c r="B11" s="12"/>
    </row>
    <row r="12" spans="2:6" ht="15.75" thickBot="1" x14ac:dyDescent="0.3">
      <c r="B12" s="12" t="s">
        <v>11</v>
      </c>
      <c r="C12" s="730" t="s">
        <v>2</v>
      </c>
      <c r="D12" s="731"/>
      <c r="E12" s="731"/>
      <c r="F12" s="732"/>
    </row>
    <row r="13" spans="2:6" x14ac:dyDescent="0.25">
      <c r="B13" s="12"/>
    </row>
    <row r="14" spans="2:6" x14ac:dyDescent="0.25">
      <c r="B14" s="12" t="s">
        <v>12</v>
      </c>
      <c r="C14" s="230">
        <v>0.75</v>
      </c>
      <c r="D14" s="13" t="s">
        <v>13</v>
      </c>
      <c r="E14" s="14" t="str">
        <f>IF(C14=1,"","- "&amp;(1-C14)*100&amp;"%")</f>
        <v>- 25%</v>
      </c>
      <c r="F14" s="11" t="str">
        <f>IF(C14=1,"","Commune")</f>
        <v>Commune</v>
      </c>
    </row>
    <row r="15" spans="2:6" x14ac:dyDescent="0.25">
      <c r="B15" s="12"/>
      <c r="C15" s="12"/>
    </row>
    <row r="16" spans="2:6" x14ac:dyDescent="0.25">
      <c r="B16" s="2" t="str">
        <f>IF($C$12="Bipartite","","COMMUNE")</f>
        <v>COMMUNE</v>
      </c>
      <c r="C16" s="313" t="str">
        <f>IF($C$12="Bipartite","","Administration communale de")</f>
        <v>Administration communale de</v>
      </c>
      <c r="D16" s="46"/>
    </row>
    <row r="17" spans="2:4" x14ac:dyDescent="0.25">
      <c r="C17" s="314" t="str">
        <f>IF($C$12="Bipartite","","[adresse]")</f>
        <v>[adresse]</v>
      </c>
      <c r="D17" s="297"/>
    </row>
    <row r="18" spans="2:4" x14ac:dyDescent="0.25">
      <c r="C18" s="314" t="str">
        <f>IF($C$12="Bipartite","","[code postal]")</f>
        <v>[code postal]</v>
      </c>
      <c r="D18" s="297"/>
    </row>
    <row r="20" spans="2:4" x14ac:dyDescent="0.25">
      <c r="B20" s="2" t="s">
        <v>403</v>
      </c>
      <c r="C20" s="231" t="s">
        <v>565</v>
      </c>
      <c r="D20" s="227"/>
    </row>
    <row r="21" spans="2:4" x14ac:dyDescent="0.25">
      <c r="C21" s="232" t="s">
        <v>4</v>
      </c>
      <c r="D21" s="228"/>
    </row>
    <row r="22" spans="2:4" x14ac:dyDescent="0.25">
      <c r="C22" s="233" t="s">
        <v>5</v>
      </c>
      <c r="D22" s="229"/>
    </row>
    <row r="24" spans="2:4" x14ac:dyDescent="0.25">
      <c r="B24" s="2" t="s">
        <v>14</v>
      </c>
      <c r="C24" s="231" t="s">
        <v>603</v>
      </c>
      <c r="D24" s="227"/>
    </row>
    <row r="26" spans="2:4" x14ac:dyDescent="0.25">
      <c r="B26" s="2" t="s">
        <v>621</v>
      </c>
      <c r="C26" s="552">
        <v>45292</v>
      </c>
    </row>
    <row r="27" spans="2:4" x14ac:dyDescent="0.25">
      <c r="B27" s="2" t="s">
        <v>622</v>
      </c>
      <c r="C27" s="552">
        <v>45657</v>
      </c>
    </row>
    <row r="28" spans="2:4" ht="15.75" thickBot="1" x14ac:dyDescent="0.3">
      <c r="C28" s="470"/>
    </row>
    <row r="29" spans="2:4" ht="15.75" thickBot="1" x14ac:dyDescent="0.3">
      <c r="B29" s="465" t="s">
        <v>17</v>
      </c>
    </row>
    <row r="30" spans="2:4" x14ac:dyDescent="0.25">
      <c r="B30" s="81" t="s">
        <v>618</v>
      </c>
      <c r="C30" s="226"/>
      <c r="D30" s="82"/>
    </row>
    <row r="31" spans="2:4" x14ac:dyDescent="0.25">
      <c r="B31" s="83"/>
      <c r="C31" s="187"/>
      <c r="D31" s="84"/>
    </row>
    <row r="32" spans="2:4" x14ac:dyDescent="0.25">
      <c r="B32" s="83" t="s">
        <v>6</v>
      </c>
      <c r="C32" s="234"/>
      <c r="D32" s="84"/>
    </row>
    <row r="33" spans="2:4" x14ac:dyDescent="0.25">
      <c r="B33" s="83"/>
      <c r="C33" s="187"/>
      <c r="D33" s="84"/>
    </row>
    <row r="34" spans="2:4" x14ac:dyDescent="0.25">
      <c r="B34" s="83" t="s">
        <v>7</v>
      </c>
      <c r="C34" s="234"/>
      <c r="D34" s="84"/>
    </row>
    <row r="35" spans="2:4" x14ac:dyDescent="0.25">
      <c r="B35" s="83"/>
      <c r="C35" s="187"/>
      <c r="D35" s="84"/>
    </row>
    <row r="36" spans="2:4" x14ac:dyDescent="0.25">
      <c r="B36" s="83" t="s">
        <v>8</v>
      </c>
      <c r="C36" s="235"/>
      <c r="D36" s="84"/>
    </row>
    <row r="37" spans="2:4" x14ac:dyDescent="0.25">
      <c r="B37" s="85"/>
      <c r="C37" s="4"/>
      <c r="D37" s="86"/>
    </row>
    <row r="38" spans="2:4" x14ac:dyDescent="0.25">
      <c r="B38" s="87" t="s">
        <v>619</v>
      </c>
      <c r="C38" s="236"/>
      <c r="D38" s="88"/>
    </row>
    <row r="39" spans="2:4" x14ac:dyDescent="0.25">
      <c r="B39" s="83"/>
      <c r="C39" s="187"/>
      <c r="D39" s="84"/>
    </row>
    <row r="40" spans="2:4" x14ac:dyDescent="0.25">
      <c r="B40" s="83" t="s">
        <v>6</v>
      </c>
      <c r="C40" s="234"/>
      <c r="D40" s="84"/>
    </row>
    <row r="41" spans="2:4" x14ac:dyDescent="0.25">
      <c r="B41" s="83"/>
      <c r="C41" s="187"/>
      <c r="D41" s="84"/>
    </row>
    <row r="42" spans="2:4" x14ac:dyDescent="0.25">
      <c r="B42" s="83" t="s">
        <v>7</v>
      </c>
      <c r="C42" s="234"/>
      <c r="D42" s="84"/>
    </row>
    <row r="43" spans="2:4" x14ac:dyDescent="0.25">
      <c r="B43" s="83"/>
      <c r="C43" s="187"/>
      <c r="D43" s="84"/>
    </row>
    <row r="44" spans="2:4" x14ac:dyDescent="0.25">
      <c r="B44" s="83" t="s">
        <v>8</v>
      </c>
      <c r="C44" s="235"/>
      <c r="D44" s="84"/>
    </row>
    <row r="45" spans="2:4" ht="15.75" thickBot="1" x14ac:dyDescent="0.3">
      <c r="B45" s="89"/>
      <c r="C45" s="90"/>
      <c r="D45" s="91"/>
    </row>
    <row r="46" spans="2:4" ht="15.75" thickBot="1" x14ac:dyDescent="0.3"/>
    <row r="47" spans="2:4" ht="15.75" thickBot="1" x14ac:dyDescent="0.3">
      <c r="B47" s="465" t="s">
        <v>9</v>
      </c>
    </row>
    <row r="48" spans="2:4" x14ac:dyDescent="0.25">
      <c r="B48" s="81" t="s">
        <v>15</v>
      </c>
      <c r="C48" s="226"/>
      <c r="D48" s="82"/>
    </row>
    <row r="49" spans="2:4" x14ac:dyDescent="0.25">
      <c r="B49" s="83"/>
      <c r="C49" s="187"/>
      <c r="D49" s="84"/>
    </row>
    <row r="50" spans="2:4" x14ac:dyDescent="0.25">
      <c r="B50" s="83" t="s">
        <v>6</v>
      </c>
      <c r="C50" s="234"/>
      <c r="D50" s="84"/>
    </row>
    <row r="51" spans="2:4" x14ac:dyDescent="0.25">
      <c r="B51" s="83"/>
      <c r="C51" s="187"/>
      <c r="D51" s="84"/>
    </row>
    <row r="52" spans="2:4" x14ac:dyDescent="0.25">
      <c r="B52" s="83" t="s">
        <v>7</v>
      </c>
      <c r="C52" s="234"/>
      <c r="D52" s="84"/>
    </row>
    <row r="53" spans="2:4" x14ac:dyDescent="0.25">
      <c r="B53" s="83"/>
      <c r="C53" s="187"/>
      <c r="D53" s="84"/>
    </row>
    <row r="54" spans="2:4" x14ac:dyDescent="0.25">
      <c r="B54" s="83" t="s">
        <v>8</v>
      </c>
      <c r="C54" s="234"/>
      <c r="D54" s="84"/>
    </row>
    <row r="55" spans="2:4" x14ac:dyDescent="0.25">
      <c r="B55" s="85"/>
      <c r="C55" s="4"/>
      <c r="D55" s="86"/>
    </row>
    <row r="56" spans="2:4" x14ac:dyDescent="0.25">
      <c r="B56" s="87" t="s">
        <v>16</v>
      </c>
      <c r="C56" s="236"/>
      <c r="D56" s="88"/>
    </row>
    <row r="57" spans="2:4" x14ac:dyDescent="0.25">
      <c r="B57" s="83"/>
      <c r="C57" s="187"/>
      <c r="D57" s="84"/>
    </row>
    <row r="58" spans="2:4" x14ac:dyDescent="0.25">
      <c r="B58" s="83" t="s">
        <v>6</v>
      </c>
      <c r="C58" s="234"/>
      <c r="D58" s="84"/>
    </row>
    <row r="59" spans="2:4" x14ac:dyDescent="0.25">
      <c r="B59" s="83"/>
      <c r="C59" s="187"/>
      <c r="D59" s="84"/>
    </row>
    <row r="60" spans="2:4" x14ac:dyDescent="0.25">
      <c r="B60" s="83" t="s">
        <v>7</v>
      </c>
      <c r="C60" s="234"/>
      <c r="D60" s="84"/>
    </row>
    <row r="61" spans="2:4" x14ac:dyDescent="0.25">
      <c r="B61" s="83"/>
      <c r="C61" s="187"/>
      <c r="D61" s="84"/>
    </row>
    <row r="62" spans="2:4" x14ac:dyDescent="0.25">
      <c r="B62" s="83" t="s">
        <v>8</v>
      </c>
      <c r="C62" s="234"/>
      <c r="D62" s="84"/>
    </row>
    <row r="63" spans="2:4" ht="15.75" thickBot="1" x14ac:dyDescent="0.3">
      <c r="B63" s="89"/>
      <c r="C63" s="90"/>
      <c r="D63" s="91"/>
    </row>
  </sheetData>
  <sheetProtection algorithmName="SHA-512" hashValue="UHhcu3PvNRIIENIgLTs9FGfJOJ/oIH9zKmDjKVwCczkKpcQ6M6huHJxGZtNJMSCtxSQP9MuS3/cdt/x00l9Fxw==" saltValue="szWm5tGroZ82bqS1QmbXNA==" spinCount="100000" sheet="1" selectLockedCells="1"/>
  <mergeCells count="2">
    <mergeCell ref="C10:F10"/>
    <mergeCell ref="C12:F12"/>
  </mergeCells>
  <conditionalFormatting sqref="E14:F14">
    <cfRule type="expression" dxfId="324" priority="7">
      <formula>$C$14=75%</formula>
    </cfRule>
  </conditionalFormatting>
  <conditionalFormatting sqref="C16:D16">
    <cfRule type="expression" dxfId="323" priority="5">
      <formula>$B$16="COMMUNE"</formula>
    </cfRule>
  </conditionalFormatting>
  <conditionalFormatting sqref="C17">
    <cfRule type="expression" dxfId="322" priority="4">
      <formula>$B$16="COMMUNE"</formula>
    </cfRule>
  </conditionalFormatting>
  <conditionalFormatting sqref="C18">
    <cfRule type="expression" dxfId="321" priority="3">
      <formula>$B$16="COMMUNE"</formula>
    </cfRule>
  </conditionalFormatting>
  <conditionalFormatting sqref="D17">
    <cfRule type="expression" dxfId="320" priority="2">
      <formula>$B$16="COMMUNE"</formula>
    </cfRule>
  </conditionalFormatting>
  <conditionalFormatting sqref="D18">
    <cfRule type="expression" dxfId="319" priority="1">
      <formula>$B$16="COMMUNE"</formula>
    </cfRule>
  </conditionalFormatting>
  <dataValidations count="4">
    <dataValidation type="date" allowBlank="1" showInputMessage="1" showErrorMessage="1" errorTitle="Date Début/Fin" error="FORMAT:_x000a_DD/MM/YYYY_x000a_" promptTitle="Date début/fin Convention" prompt="Merci d'indiquer la période de la convention. En cas de reprise en cours d'année, la date de début est celle de la reprise pour le nouveau gestionnaire, tandis que l'ancien gestionnaire la considère comme date de fin." sqref="C26:C27" xr:uid="{254AFA39-ACE4-4FD6-8863-495BB9A8E820}">
      <formula1>DATE($C$10,1,1)</formula1>
      <formula2>DATE($C$10,12,31)</formula2>
    </dataValidation>
    <dataValidation type="textLength" operator="greaterThan" allowBlank="1" showInputMessage="1" showErrorMessage="1" promptTitle="Commune" prompt="À remplir uniquement si la convention est TRIpartite. Pour une convention BIpartite, veuillez spécifier la commune comme l'organisme gestionnaire." sqref="C16:C18" xr:uid="{805A89C9-BA24-4EBB-9BDB-0EA83D4393BC}">
      <formula1>0</formula1>
    </dataValidation>
    <dataValidation type="textLength" operator="greaterThan" allowBlank="1" showInputMessage="1" showErrorMessage="1" promptTitle="GESTIONNAIRE" prompt="Merci de fournir le nom, l'adresse complète avec le code postal et la localité du gestionnaire." sqref="C20:C22" xr:uid="{911EE88F-6C83-4110-9244-EFA01B5DFE80}">
      <formula1>0</formula1>
    </dataValidation>
    <dataValidation type="textLength" operator="greaterThan" allowBlank="1" showInputMessage="1" showErrorMessage="1" promptTitle="Nom SEA" prompt="Merci d'indiquer le nom du SEA. _x000a_En cas de plusieurs agréments couverts par une même convention/un décompte, par exemple SEA A, SEA B, veuillez préciser &quot;Maison Relais&quot; suivi du nom de la commune." sqref="C24" xr:uid="{1B539E71-3B7E-4A76-8851-C4BAB39E7B75}">
      <formula1>0</formula1>
    </dataValidation>
  </dataValidations>
  <pageMargins left="0.70866141732283472" right="0.70866141732283472" top="0.74803149606299213" bottom="0.74803149606299213" header="0.31496062992125984" footer="0.31496062992125984"/>
  <pageSetup paperSize="9" scale="10" fitToHeight="0" orientation="portrait" cellComments="atEnd" r:id="rId1"/>
  <headerFooter>
    <oddHeader>&amp;C&amp;A</oddHeader>
    <oddFooter xml:space="preserve">&amp;R&amp;P/&amp;N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'Variable et Dropdowns'!$B$2:$B$3</xm:f>
          </x14:formula1>
          <xm:sqref>C14</xm:sqref>
        </x14:dataValidation>
        <x14:dataValidation type="list" allowBlank="1" showInputMessage="1" showErrorMessage="1" promptTitle="Type de convention" xr:uid="{B076986C-1473-408F-9592-55266E6A5F2D}">
          <x14:formula1>
            <xm:f>'Variable et Dropdowns'!$A$2:$A$3</xm:f>
          </x14:formula1>
          <xm:sqref>C12:F12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pageSetUpPr fitToPage="1"/>
  </sheetPr>
  <dimension ref="B1:M48"/>
  <sheetViews>
    <sheetView zoomScale="85" zoomScaleNormal="85" workbookViewId="0">
      <selection activeCell="C8" sqref="C8"/>
    </sheetView>
  </sheetViews>
  <sheetFormatPr defaultColWidth="9.140625" defaultRowHeight="15" x14ac:dyDescent="0.25"/>
  <cols>
    <col min="1" max="1" width="9.140625" style="2"/>
    <col min="2" max="2" width="6.42578125" style="2" customWidth="1"/>
    <col min="3" max="3" width="55.140625" style="2" customWidth="1"/>
    <col min="4" max="4" width="33" style="2" customWidth="1"/>
    <col min="5" max="5" width="14.85546875" style="2" customWidth="1"/>
    <col min="6" max="6" width="27.7109375" style="2" customWidth="1"/>
    <col min="7" max="7" width="14.5703125" style="2" customWidth="1"/>
    <col min="8" max="8" width="26.28515625" style="2" customWidth="1"/>
    <col min="9" max="9" width="20.85546875" style="2" customWidth="1"/>
    <col min="10" max="10" width="10.42578125" style="2" customWidth="1"/>
    <col min="11" max="11" width="23.5703125" style="2" customWidth="1"/>
    <col min="12" max="12" width="27.140625" style="2" customWidth="1"/>
    <col min="13" max="13" width="44.28515625" style="2" bestFit="1" customWidth="1"/>
    <col min="14" max="16384" width="9.140625" style="2"/>
  </cols>
  <sheetData>
    <row r="1" spans="2:13" x14ac:dyDescent="0.25">
      <c r="B1" s="11" t="str">
        <f>'Informations générales 1'!B7</f>
        <v>DECOMPTE ANNUEL</v>
      </c>
    </row>
    <row r="2" spans="2:13" x14ac:dyDescent="0.25">
      <c r="B2" s="11" t="str">
        <f>'Informations générales 1'!C20&amp;" - "&amp;'Informations générales 1'!C24</f>
        <v>Nom Gestionnaire - Nom SEA</v>
      </c>
    </row>
    <row r="3" spans="2:13" x14ac:dyDescent="0.25">
      <c r="B3" s="19">
        <f>'Informations générales 1'!C10</f>
        <v>2024</v>
      </c>
    </row>
    <row r="5" spans="2:13" x14ac:dyDescent="0.25">
      <c r="B5" s="11" t="s">
        <v>18</v>
      </c>
    </row>
    <row r="6" spans="2:13" x14ac:dyDescent="0.25">
      <c r="G6" s="120" t="s">
        <v>313</v>
      </c>
      <c r="H6" s="121">
        <f>InformationSEA[[#Totals],[Capacité maximale
(Agrément)]]</f>
        <v>0</v>
      </c>
      <c r="I6" s="121">
        <f>InformationSEA[[#Totals],[HPE réelles 2024]]-SUMIF(InformationSEA[Nom],"*UKR*",InformationSEA[HPE réelles 2024])</f>
        <v>0</v>
      </c>
      <c r="J6" s="121"/>
      <c r="K6" s="121"/>
      <c r="L6" s="122">
        <f>InformationSEA[[#Totals],[Heures inclusion accordées]]</f>
        <v>0</v>
      </c>
    </row>
    <row r="7" spans="2:13" s="5" customFormat="1" ht="62.25" customHeight="1" x14ac:dyDescent="0.25">
      <c r="B7" s="6" t="s">
        <v>19</v>
      </c>
      <c r="C7" s="6" t="s">
        <v>20</v>
      </c>
      <c r="D7" s="6" t="s">
        <v>21</v>
      </c>
      <c r="E7" s="6" t="s">
        <v>22</v>
      </c>
      <c r="F7" s="6" t="s">
        <v>23</v>
      </c>
      <c r="G7" s="6" t="s">
        <v>24</v>
      </c>
      <c r="H7" s="6" t="s">
        <v>25</v>
      </c>
      <c r="I7" s="6" t="s">
        <v>724</v>
      </c>
      <c r="J7" s="6" t="s">
        <v>26</v>
      </c>
      <c r="K7" s="6" t="s">
        <v>27</v>
      </c>
      <c r="L7" s="6" t="s">
        <v>28</v>
      </c>
    </row>
    <row r="8" spans="2:13" ht="15.75" x14ac:dyDescent="0.25">
      <c r="B8" s="7" t="str">
        <f>IF(InformationSEA[[#This Row],[Nom]]="","",MAX($B$7:B7)+1)</f>
        <v/>
      </c>
      <c r="C8" s="8"/>
      <c r="D8" s="8"/>
      <c r="E8" s="17"/>
      <c r="F8" s="8"/>
      <c r="G8" s="18"/>
      <c r="H8" s="8"/>
      <c r="I8" s="9"/>
      <c r="J8" s="8"/>
      <c r="K8" s="10"/>
      <c r="L8"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8" s="74"/>
    </row>
    <row r="9" spans="2:13" ht="15.75" x14ac:dyDescent="0.25">
      <c r="B9" s="7" t="str">
        <f>IF(InformationSEA[[#This Row],[Nom]]="","",MAX($B$7:B8)+1)</f>
        <v/>
      </c>
      <c r="C9" s="8"/>
      <c r="D9" s="8"/>
      <c r="E9" s="17"/>
      <c r="F9" s="8"/>
      <c r="G9" s="18"/>
      <c r="H9" s="8"/>
      <c r="I9" s="9"/>
      <c r="J9" s="8"/>
      <c r="K9" s="10"/>
      <c r="L9"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9" s="74"/>
    </row>
    <row r="10" spans="2:13" ht="15.75" x14ac:dyDescent="0.25">
      <c r="B10" s="7" t="str">
        <f>IF(InformationSEA[[#This Row],[Nom]]="","",MAX($B$7:B9)+1)</f>
        <v/>
      </c>
      <c r="C10" s="8"/>
      <c r="D10" s="8"/>
      <c r="E10" s="17"/>
      <c r="F10" s="8"/>
      <c r="G10" s="18"/>
      <c r="H10" s="8"/>
      <c r="I10" s="9"/>
      <c r="J10" s="8"/>
      <c r="K10" s="10"/>
      <c r="L10"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0" s="74"/>
    </row>
    <row r="11" spans="2:13" ht="15.75" x14ac:dyDescent="0.25">
      <c r="B11" s="7" t="str">
        <f>IF(InformationSEA[[#This Row],[Nom]]="","",MAX($B$7:B10)+1)</f>
        <v/>
      </c>
      <c r="C11" s="8"/>
      <c r="D11" s="8"/>
      <c r="E11" s="17"/>
      <c r="F11" s="8"/>
      <c r="G11" s="18"/>
      <c r="H11" s="8"/>
      <c r="I11" s="9"/>
      <c r="J11" s="8"/>
      <c r="K11" s="10"/>
      <c r="L11"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1" s="74"/>
    </row>
    <row r="12" spans="2:13" ht="15.75" x14ac:dyDescent="0.25">
      <c r="B12" s="7" t="str">
        <f>IF(InformationSEA[[#This Row],[Nom]]="","",MAX($B$7:B11)+1)</f>
        <v/>
      </c>
      <c r="C12" s="8"/>
      <c r="D12" s="8"/>
      <c r="E12" s="17"/>
      <c r="F12" s="8"/>
      <c r="G12" s="18"/>
      <c r="H12" s="8"/>
      <c r="I12" s="9"/>
      <c r="J12" s="8"/>
      <c r="K12" s="10"/>
      <c r="L12"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2" s="74"/>
    </row>
    <row r="13" spans="2:13" ht="15.75" x14ac:dyDescent="0.25">
      <c r="B13" s="7" t="str">
        <f>IF(InformationSEA[[#This Row],[Nom]]="","",MAX($B$7:B12)+1)</f>
        <v/>
      </c>
      <c r="C13" s="8"/>
      <c r="D13" s="8"/>
      <c r="E13" s="17"/>
      <c r="F13" s="8"/>
      <c r="G13" s="18"/>
      <c r="H13" s="8"/>
      <c r="I13" s="9"/>
      <c r="J13" s="8"/>
      <c r="K13" s="10"/>
      <c r="L13"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3" s="74"/>
    </row>
    <row r="14" spans="2:13" ht="15.75" x14ac:dyDescent="0.25">
      <c r="B14" s="7" t="str">
        <f>IF(InformationSEA[[#This Row],[Nom]]="","",MAX($B$7:B13)+1)</f>
        <v/>
      </c>
      <c r="C14" s="8"/>
      <c r="D14" s="8"/>
      <c r="E14" s="17"/>
      <c r="F14" s="8"/>
      <c r="G14" s="18"/>
      <c r="H14" s="8"/>
      <c r="I14" s="9"/>
      <c r="J14" s="8"/>
      <c r="K14" s="10"/>
      <c r="L14"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4" s="74"/>
    </row>
    <row r="15" spans="2:13" ht="15.75" x14ac:dyDescent="0.25">
      <c r="B15" s="7" t="str">
        <f>IF(InformationSEA[[#This Row],[Nom]]="","",MAX($B$7:B14)+1)</f>
        <v/>
      </c>
      <c r="C15" s="8"/>
      <c r="D15" s="8"/>
      <c r="E15" s="17"/>
      <c r="F15" s="8"/>
      <c r="G15" s="18"/>
      <c r="H15" s="8"/>
      <c r="I15" s="9"/>
      <c r="J15" s="8"/>
      <c r="K15" s="10"/>
      <c r="L15"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5" s="74"/>
    </row>
    <row r="16" spans="2:13" ht="15.75" x14ac:dyDescent="0.25">
      <c r="B16" s="7" t="str">
        <f>IF(InformationSEA[[#This Row],[Nom]]="","",MAX($B$7:B15)+1)</f>
        <v/>
      </c>
      <c r="C16" s="8"/>
      <c r="D16" s="8"/>
      <c r="E16" s="17"/>
      <c r="F16" s="8"/>
      <c r="G16" s="18"/>
      <c r="H16" s="8"/>
      <c r="I16" s="9"/>
      <c r="J16" s="8"/>
      <c r="K16" s="10"/>
      <c r="L16"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6" s="74"/>
    </row>
    <row r="17" spans="2:13" ht="15.75" x14ac:dyDescent="0.25">
      <c r="B17" s="7" t="str">
        <f>IF(InformationSEA[[#This Row],[Nom]]="","",MAX($B$7:B16)+1)</f>
        <v/>
      </c>
      <c r="C17" s="8"/>
      <c r="D17" s="8"/>
      <c r="E17" s="17"/>
      <c r="F17" s="8"/>
      <c r="G17" s="18"/>
      <c r="H17" s="8"/>
      <c r="I17" s="9"/>
      <c r="J17" s="8"/>
      <c r="K17" s="10"/>
      <c r="L17"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7" s="74"/>
    </row>
    <row r="18" spans="2:13" ht="15.75" x14ac:dyDescent="0.25">
      <c r="B18" s="7" t="str">
        <f>IF(InformationSEA[[#This Row],[Nom]]="","",MAX($B$7:B17)+1)</f>
        <v/>
      </c>
      <c r="C18" s="8"/>
      <c r="D18" s="8"/>
      <c r="E18" s="17"/>
      <c r="F18" s="8"/>
      <c r="G18" s="18"/>
      <c r="H18" s="8"/>
      <c r="I18" s="9"/>
      <c r="J18" s="8"/>
      <c r="K18" s="10"/>
      <c r="L18"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8" s="74"/>
    </row>
    <row r="19" spans="2:13" ht="15.75" x14ac:dyDescent="0.25">
      <c r="B19" s="7" t="str">
        <f>IF(InformationSEA[[#This Row],[Nom]]="","",MAX($B$7:B18)+1)</f>
        <v/>
      </c>
      <c r="C19" s="8"/>
      <c r="D19" s="8"/>
      <c r="E19" s="17"/>
      <c r="F19" s="8"/>
      <c r="G19" s="18"/>
      <c r="H19" s="8"/>
      <c r="I19" s="9"/>
      <c r="J19" s="8"/>
      <c r="K19" s="10"/>
      <c r="L19"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19" s="74"/>
    </row>
    <row r="20" spans="2:13" ht="15.75" x14ac:dyDescent="0.25">
      <c r="B20" s="7" t="str">
        <f>IF(InformationSEA[[#This Row],[Nom]]="","",MAX($B$7:B19)+1)</f>
        <v/>
      </c>
      <c r="C20" s="8"/>
      <c r="D20" s="8"/>
      <c r="E20" s="17"/>
      <c r="F20" s="8"/>
      <c r="G20" s="18"/>
      <c r="H20" s="8"/>
      <c r="I20" s="9"/>
      <c r="J20" s="8"/>
      <c r="K20" s="10"/>
      <c r="L20"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0" s="74"/>
    </row>
    <row r="21" spans="2:13" ht="15.75" x14ac:dyDescent="0.25">
      <c r="B21" s="7" t="str">
        <f>IF(InformationSEA[[#This Row],[Nom]]="","",MAX($B$7:B20)+1)</f>
        <v/>
      </c>
      <c r="C21" s="8"/>
      <c r="D21" s="8"/>
      <c r="E21" s="17"/>
      <c r="F21" s="8"/>
      <c r="G21" s="18"/>
      <c r="H21" s="8"/>
      <c r="I21" s="9"/>
      <c r="J21" s="8"/>
      <c r="K21" s="10"/>
      <c r="L21"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1" s="74"/>
    </row>
    <row r="22" spans="2:13" ht="15.75" x14ac:dyDescent="0.25">
      <c r="B22" s="7" t="str">
        <f>IF(InformationSEA[[#This Row],[Nom]]="","",MAX($B$7:B21)+1)</f>
        <v/>
      </c>
      <c r="C22" s="8"/>
      <c r="D22" s="8"/>
      <c r="E22" s="17"/>
      <c r="F22" s="8"/>
      <c r="G22" s="18"/>
      <c r="H22" s="8"/>
      <c r="I22" s="9"/>
      <c r="J22" s="8"/>
      <c r="K22" s="10"/>
      <c r="L22"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2" s="74"/>
    </row>
    <row r="23" spans="2:13" ht="15.75" x14ac:dyDescent="0.25">
      <c r="B23" s="7" t="str">
        <f>IF(InformationSEA[[#This Row],[Nom]]="","",MAX($B$7:B22)+1)</f>
        <v/>
      </c>
      <c r="C23" s="8"/>
      <c r="D23" s="8"/>
      <c r="E23" s="17"/>
      <c r="F23" s="8"/>
      <c r="G23" s="18"/>
      <c r="H23" s="8"/>
      <c r="I23" s="9"/>
      <c r="J23" s="8"/>
      <c r="K23" s="10"/>
      <c r="L23"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3" s="74"/>
    </row>
    <row r="24" spans="2:13" ht="15.75" x14ac:dyDescent="0.25">
      <c r="B24" s="7" t="str">
        <f>IF(InformationSEA[[#This Row],[Nom]]="","",MAX($B$7:B23)+1)</f>
        <v/>
      </c>
      <c r="C24" s="8"/>
      <c r="D24" s="8"/>
      <c r="E24" s="17"/>
      <c r="F24" s="8"/>
      <c r="G24" s="18"/>
      <c r="H24" s="8"/>
      <c r="I24" s="9"/>
      <c r="J24" s="8"/>
      <c r="K24" s="10"/>
      <c r="L24"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4" s="74"/>
    </row>
    <row r="25" spans="2:13" ht="15.75" x14ac:dyDescent="0.25">
      <c r="B25" s="7" t="str">
        <f>IF(InformationSEA[[#This Row],[Nom]]="","",MAX($B$7:B24)+1)</f>
        <v/>
      </c>
      <c r="C25" s="8"/>
      <c r="D25" s="8"/>
      <c r="E25" s="17"/>
      <c r="F25" s="8"/>
      <c r="G25" s="18"/>
      <c r="H25" s="8"/>
      <c r="I25" s="9"/>
      <c r="J25" s="8"/>
      <c r="K25" s="10"/>
      <c r="L25"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5" s="74"/>
    </row>
    <row r="26" spans="2:13" ht="15.75" x14ac:dyDescent="0.25">
      <c r="B26" s="7" t="str">
        <f>IF(InformationSEA[[#This Row],[Nom]]="","",MAX($B$7:B25)+1)</f>
        <v/>
      </c>
      <c r="C26" s="8"/>
      <c r="D26" s="8"/>
      <c r="E26" s="17"/>
      <c r="F26" s="8"/>
      <c r="G26" s="18"/>
      <c r="H26" s="8"/>
      <c r="I26" s="9"/>
      <c r="J26" s="8"/>
      <c r="K26" s="10"/>
      <c r="L26"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6" s="74"/>
    </row>
    <row r="27" spans="2:13" ht="15.75" x14ac:dyDescent="0.25">
      <c r="B27" s="7" t="str">
        <f>IF(InformationSEA[[#This Row],[Nom]]="","",MAX($B$7:B26)+1)</f>
        <v/>
      </c>
      <c r="C27" s="8"/>
      <c r="D27" s="8"/>
      <c r="E27" s="17"/>
      <c r="F27" s="8"/>
      <c r="G27" s="18"/>
      <c r="H27" s="8"/>
      <c r="I27" s="9"/>
      <c r="J27" s="8"/>
      <c r="K27" s="10"/>
      <c r="L27"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7" s="74"/>
    </row>
    <row r="28" spans="2:13" ht="15.75" x14ac:dyDescent="0.25">
      <c r="B28" s="7" t="str">
        <f>IF(InformationSEA[[#This Row],[Nom]]="","",MAX($B$7:B27)+1)</f>
        <v/>
      </c>
      <c r="C28" s="8"/>
      <c r="D28" s="8"/>
      <c r="E28" s="17"/>
      <c r="F28" s="8"/>
      <c r="G28" s="18"/>
      <c r="H28" s="8"/>
      <c r="I28" s="9"/>
      <c r="J28" s="8"/>
      <c r="K28" s="10"/>
      <c r="L28"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8" s="74"/>
    </row>
    <row r="29" spans="2:13" ht="15.75" x14ac:dyDescent="0.25">
      <c r="B29" s="7" t="str">
        <f>IF(InformationSEA[[#This Row],[Nom]]="","",MAX($B$7:B28)+1)</f>
        <v/>
      </c>
      <c r="C29" s="8"/>
      <c r="D29" s="8"/>
      <c r="E29" s="17"/>
      <c r="F29" s="8"/>
      <c r="G29" s="18"/>
      <c r="H29" s="8"/>
      <c r="I29" s="9"/>
      <c r="J29" s="8"/>
      <c r="K29" s="10"/>
      <c r="L29"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29" s="74"/>
    </row>
    <row r="30" spans="2:13" ht="15.75" x14ac:dyDescent="0.25">
      <c r="B30" s="7" t="str">
        <f>IF(InformationSEA[[#This Row],[Nom]]="","",MAX($B$7:B29)+1)</f>
        <v/>
      </c>
      <c r="C30" s="8"/>
      <c r="D30" s="8"/>
      <c r="E30" s="17"/>
      <c r="F30" s="8"/>
      <c r="G30" s="18"/>
      <c r="H30" s="8"/>
      <c r="I30" s="9"/>
      <c r="J30" s="8"/>
      <c r="K30" s="10"/>
      <c r="L30"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0" s="74"/>
    </row>
    <row r="31" spans="2:13" ht="15.75" x14ac:dyDescent="0.25">
      <c r="B31" s="7" t="str">
        <f>IF(InformationSEA[[#This Row],[Nom]]="","",MAX($B$7:B30)+1)</f>
        <v/>
      </c>
      <c r="C31" s="8"/>
      <c r="D31" s="8"/>
      <c r="E31" s="17"/>
      <c r="F31" s="8"/>
      <c r="G31" s="18"/>
      <c r="H31" s="8"/>
      <c r="I31" s="9"/>
      <c r="J31" s="8"/>
      <c r="K31" s="10"/>
      <c r="L31"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1" s="74"/>
    </row>
    <row r="32" spans="2:13" ht="15.75" x14ac:dyDescent="0.25">
      <c r="B32" s="7" t="str">
        <f>IF(InformationSEA[[#This Row],[Nom]]="","",MAX($B$7:B31)+1)</f>
        <v/>
      </c>
      <c r="C32" s="8"/>
      <c r="D32" s="8"/>
      <c r="E32" s="17"/>
      <c r="F32" s="8"/>
      <c r="G32" s="18"/>
      <c r="H32" s="8"/>
      <c r="I32" s="9"/>
      <c r="J32" s="8"/>
      <c r="K32" s="10"/>
      <c r="L32"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2" s="74"/>
    </row>
    <row r="33" spans="2:13" ht="15.75" x14ac:dyDescent="0.25">
      <c r="B33" s="7" t="str">
        <f>IF(InformationSEA[[#This Row],[Nom]]="","",MAX($B$7:B32)+1)</f>
        <v/>
      </c>
      <c r="C33" s="8"/>
      <c r="D33" s="8"/>
      <c r="E33" s="17"/>
      <c r="F33" s="8"/>
      <c r="G33" s="18"/>
      <c r="H33" s="8"/>
      <c r="I33" s="9"/>
      <c r="J33" s="8"/>
      <c r="K33" s="10"/>
      <c r="L33"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3" s="74"/>
    </row>
    <row r="34" spans="2:13" ht="15.75" x14ac:dyDescent="0.25">
      <c r="B34" s="7" t="str">
        <f>IF(InformationSEA[[#This Row],[Nom]]="","",MAX($B$7:B33)+1)</f>
        <v/>
      </c>
      <c r="C34" s="8"/>
      <c r="D34" s="8"/>
      <c r="E34" s="17"/>
      <c r="F34" s="8"/>
      <c r="G34" s="18"/>
      <c r="H34" s="8"/>
      <c r="I34" s="9"/>
      <c r="J34" s="8"/>
      <c r="K34" s="10"/>
      <c r="L34"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4" s="74"/>
    </row>
    <row r="35" spans="2:13" ht="15.75" x14ac:dyDescent="0.25">
      <c r="B35" s="7" t="str">
        <f>IF(InformationSEA[[#This Row],[Nom]]="","",MAX($B$7:B34)+1)</f>
        <v/>
      </c>
      <c r="C35" s="8"/>
      <c r="D35" s="8"/>
      <c r="E35" s="17"/>
      <c r="F35" s="8"/>
      <c r="G35" s="18"/>
      <c r="H35" s="8"/>
      <c r="I35" s="9"/>
      <c r="J35" s="8"/>
      <c r="K35" s="10"/>
      <c r="L35"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5" s="74"/>
    </row>
    <row r="36" spans="2:13" ht="15.75" x14ac:dyDescent="0.25">
      <c r="B36" s="7" t="str">
        <f>IF(InformationSEA[[#This Row],[Nom]]="","",MAX($B$7:B35)+1)</f>
        <v/>
      </c>
      <c r="C36" s="8"/>
      <c r="D36" s="8"/>
      <c r="E36" s="17"/>
      <c r="F36" s="8"/>
      <c r="G36" s="18"/>
      <c r="H36" s="8"/>
      <c r="I36" s="9"/>
      <c r="J36" s="8"/>
      <c r="K36" s="10"/>
      <c r="L36"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6" s="74"/>
    </row>
    <row r="37" spans="2:13" ht="15.75" x14ac:dyDescent="0.25">
      <c r="B37" s="7" t="str">
        <f>IF(InformationSEA[[#This Row],[Nom]]="","",MAX($B$7:B36)+1)</f>
        <v/>
      </c>
      <c r="C37" s="8"/>
      <c r="D37" s="8"/>
      <c r="E37" s="17"/>
      <c r="F37" s="8"/>
      <c r="G37" s="18"/>
      <c r="H37" s="8"/>
      <c r="I37" s="9"/>
      <c r="J37" s="8"/>
      <c r="K37" s="10"/>
      <c r="L37"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7" s="74"/>
    </row>
    <row r="38" spans="2:13" ht="15.75" x14ac:dyDescent="0.25">
      <c r="B38" s="7" t="str">
        <f>IF(InformationSEA[[#This Row],[Nom]]="","",MAX($B$7:B37)+1)</f>
        <v/>
      </c>
      <c r="C38" s="8"/>
      <c r="D38" s="8"/>
      <c r="E38" s="17"/>
      <c r="F38" s="8"/>
      <c r="G38" s="18"/>
      <c r="H38" s="8"/>
      <c r="I38" s="9"/>
      <c r="J38" s="8"/>
      <c r="K38" s="10"/>
      <c r="L38"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8" s="74"/>
    </row>
    <row r="39" spans="2:13" ht="15.75" x14ac:dyDescent="0.25">
      <c r="B39" s="7" t="str">
        <f>IF(InformationSEA[[#This Row],[Nom]]="","",MAX($B$7:B38)+1)</f>
        <v/>
      </c>
      <c r="C39" s="8"/>
      <c r="D39" s="8"/>
      <c r="E39" s="17"/>
      <c r="F39" s="8"/>
      <c r="G39" s="18"/>
      <c r="H39" s="8"/>
      <c r="I39" s="9"/>
      <c r="J39" s="8"/>
      <c r="K39" s="10"/>
      <c r="L39"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39" s="74"/>
    </row>
    <row r="40" spans="2:13" ht="15.75" x14ac:dyDescent="0.25">
      <c r="B40" s="7" t="str">
        <f>IF(InformationSEA[[#This Row],[Nom]]="","",MAX($B$7:B39)+1)</f>
        <v/>
      </c>
      <c r="C40" s="8"/>
      <c r="D40" s="8"/>
      <c r="E40" s="17"/>
      <c r="F40" s="8"/>
      <c r="G40" s="18"/>
      <c r="H40" s="8"/>
      <c r="I40" s="9"/>
      <c r="J40" s="8"/>
      <c r="K40" s="10"/>
      <c r="L40"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40" s="74"/>
    </row>
    <row r="41" spans="2:13" ht="15.75" x14ac:dyDescent="0.25">
      <c r="B41" s="7" t="str">
        <f>IF(InformationSEA[[#This Row],[Nom]]="","",MAX($B$7:B40)+1)</f>
        <v/>
      </c>
      <c r="C41" s="8"/>
      <c r="D41" s="8"/>
      <c r="E41" s="17"/>
      <c r="F41" s="8"/>
      <c r="G41" s="18"/>
      <c r="H41" s="8"/>
      <c r="I41" s="9"/>
      <c r="J41" s="8"/>
      <c r="K41" s="10"/>
      <c r="L41"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41" s="74"/>
    </row>
    <row r="42" spans="2:13" ht="15.75" x14ac:dyDescent="0.25">
      <c r="B42" s="7" t="str">
        <f>IF(InformationSEA[[#This Row],[Nom]]="","",MAX($B$7:B41)+1)</f>
        <v/>
      </c>
      <c r="C42" s="8"/>
      <c r="D42" s="8"/>
      <c r="E42" s="17"/>
      <c r="F42" s="8"/>
      <c r="G42" s="18"/>
      <c r="H42" s="8"/>
      <c r="I42" s="9"/>
      <c r="J42" s="8"/>
      <c r="K42" s="10"/>
      <c r="L42"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42" s="74"/>
    </row>
    <row r="43" spans="2:13" ht="15.75" x14ac:dyDescent="0.25">
      <c r="B43" s="7" t="str">
        <f>IF(InformationSEA[[#This Row],[Nom]]="","",MAX($B$7:B42)+1)</f>
        <v/>
      </c>
      <c r="C43" s="8"/>
      <c r="D43" s="8"/>
      <c r="E43" s="17"/>
      <c r="F43" s="8"/>
      <c r="G43" s="18"/>
      <c r="H43" s="8"/>
      <c r="I43" s="9"/>
      <c r="J43" s="8"/>
      <c r="K43" s="10"/>
      <c r="L43"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43" s="74"/>
    </row>
    <row r="44" spans="2:13" ht="15.75" x14ac:dyDescent="0.25">
      <c r="B44" s="7" t="str">
        <f>IF(InformationSEA[[#This Row],[Nom]]="","",MAX($B$7:B43)+1)</f>
        <v/>
      </c>
      <c r="C44" s="8"/>
      <c r="D44" s="8"/>
      <c r="E44" s="17"/>
      <c r="F44" s="8"/>
      <c r="G44" s="18"/>
      <c r="H44" s="8"/>
      <c r="I44" s="9"/>
      <c r="J44" s="8"/>
      <c r="K44" s="10"/>
      <c r="L44"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44" s="74"/>
    </row>
    <row r="45" spans="2:13" ht="15.75" x14ac:dyDescent="0.25">
      <c r="B45" s="7" t="str">
        <f>IF(InformationSEA[[#This Row],[Nom]]="","",MAX($B$7:B44)+1)</f>
        <v/>
      </c>
      <c r="C45" s="8"/>
      <c r="D45" s="8"/>
      <c r="E45" s="17"/>
      <c r="F45" s="8"/>
      <c r="G45" s="18"/>
      <c r="H45" s="8"/>
      <c r="I45" s="9"/>
      <c r="J45" s="8"/>
      <c r="K45" s="10"/>
      <c r="L45"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45" s="74"/>
    </row>
    <row r="46" spans="2:13" ht="15.75" x14ac:dyDescent="0.25">
      <c r="B46" s="7" t="str">
        <f>IF(InformationSEA[[#This Row],[Nom]]="","",MAX($B$7:B45)+1)</f>
        <v/>
      </c>
      <c r="C46" s="8"/>
      <c r="D46" s="8"/>
      <c r="E46" s="17"/>
      <c r="F46" s="8"/>
      <c r="G46" s="18"/>
      <c r="H46" s="8"/>
      <c r="I46" s="9"/>
      <c r="J46" s="8"/>
      <c r="K46" s="10"/>
      <c r="L46"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46" s="74"/>
    </row>
    <row r="47" spans="2:13" ht="15.75" x14ac:dyDescent="0.25">
      <c r="B47" s="7" t="str">
        <f>IF(InformationSEA[[#This Row],[Nom]]="","",MAX($B$7:B46)+1)</f>
        <v/>
      </c>
      <c r="C47" s="8"/>
      <c r="D47" s="8"/>
      <c r="E47" s="17"/>
      <c r="F47" s="8"/>
      <c r="G47" s="18"/>
      <c r="H47" s="8"/>
      <c r="I47" s="9"/>
      <c r="J47" s="8"/>
      <c r="K47" s="10"/>
      <c r="L47" s="184" t="str">
        <f>IF(OR(InformationSEA[[#This Row],[Date d''accord inclusion]]="",InformationSEA[[#This Row],[N° Agrément]]="",InformationSEA[[#This Row],[HPE réelles 2024]]="")=TRUE,"",IF(InformationSEA[[#This Row],[Inclusion
(Oui/Non)]]="OUI",IF(SUMIF(InformationSEA[N° Agrément],InformationSEA[[#This Row],[N° Agrément]],InformationSEA[HPE réelles 2024])/0.75*0.015&lt;1040,1040/COUNTIF(InformationSEA[N° Agrément],InformationSEA[[#This Row],[N° Agrément]])*(WEEKNUM(DATE('Informations générales 1'!$C$10,12,31),17)-IF(InformationSEA[[#This Row],[Date d''accord inclusion]]&lt;DATE($B$3,1,1),WEEKNUM(DATE($B$3,1,1),17),WEEKNUM(InformationSEA[[#This Row],[Date d''accord inclusion]],17)))/52,InformationSEA[[#This Row],[HPE réelles 2024]]/0.75*0.015*(WEEKNUM(DATE('Informations générales 1'!$C$10,12,31),17)-IF(InformationSEA[[#This Row],[Date d''accord inclusion]]&lt;DATE($B$3,1,1),WEEKNUM(DATE($B$3,1,1),17),WEEKNUM(InformationSEA[[#This Row],[Date d''accord inclusion]],17)))/52),""))</f>
        <v/>
      </c>
      <c r="M47" s="74"/>
    </row>
    <row r="48" spans="2:13" x14ac:dyDescent="0.25">
      <c r="B48" s="7" t="s">
        <v>31</v>
      </c>
      <c r="C48" s="7"/>
      <c r="D48" s="7"/>
      <c r="E48" s="7"/>
      <c r="F48" s="7"/>
      <c r="G48" s="237"/>
      <c r="H48" s="7">
        <f>SUBTOTAL(109,InformationSEA[Capacité maximale
(Agrément)])</f>
        <v>0</v>
      </c>
      <c r="I48" s="238">
        <f>SUBTOTAL(109,InformationSEA[HPE réelles 2024])</f>
        <v>0</v>
      </c>
      <c r="J48" s="7"/>
      <c r="K48" s="7"/>
      <c r="L48" s="16">
        <f>SUBTOTAL(109,InformationSEA[Heures inclusion accordées])</f>
        <v>0</v>
      </c>
    </row>
  </sheetData>
  <sheetProtection algorithmName="SHA-512" hashValue="n0tAStJ++MaJ9sKyHWUf8qWj+Hh1E8UMnHrmcTCoChiR3WvRJ8+oGyaoHxPFDIIoYgpAtzYnCoY39AbCh76g6A==" saltValue="HaekkefuRfBtHREmHqZxhw==" spinCount="100000" sheet="1" selectLockedCells="1" autoFilter="0"/>
  <dataValidations count="2">
    <dataValidation type="decimal" operator="greaterThanOrEqual" allowBlank="1" showInputMessage="1" showErrorMessage="1" promptTitle="Heures de présence RÉELLES" prompt="Merci de saisir les heures de présence réelles pour chaque ligne._x000a_" sqref="I8:I47" xr:uid="{C628D63C-1803-45E3-AF0E-2CD4CBA58FB0}">
      <formula1>0</formula1>
    </dataValidation>
    <dataValidation type="whole" operator="greaterThanOrEqual" allowBlank="1" showInputMessage="1" showErrorMessage="1" errorTitle="Capacité maximale" error="Veuillez indiquer la capacité en nombre entier." promptTitle="Capacité maximale" prompt="Merci d'indiquer ici la capacité maximale selon l'agrément." sqref="H8:H47" xr:uid="{8B7710F4-375D-4868-9D6A-54E779B26A70}">
      <formula1>0</formula1>
    </dataValidation>
  </dataValidations>
  <pageMargins left="0.70866141732283472" right="0.70866141732283472" top="0.74803149606299213" bottom="0.74803149606299213" header="0.31496062992125984" footer="0.31496062992125984"/>
  <pageSetup paperSize="9" scale="10" fitToHeight="0" orientation="landscape" cellComments="asDisplayed" r:id="rId1"/>
  <headerFooter>
    <oddHeader>&amp;C&amp;A</oddHeader>
    <oddFooter>&amp;R&amp;P/&amp;N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date" allowBlank="1" showInputMessage="1" showErrorMessage="1" errorTitle="Date d'accord" error="La date de l'accord ne correspond pas à la validité de la convention. _x000a_(-&gt; Info gén. 1 Date Début/Fin Convention (C26:C27)" promptTitle="Date d'accord" prompt="Si la date de l'accord est antérieure au 1er janvier 2024, veuillez indiquer le 1er janvier 2024. Par exemple, si la date est le 15 juillet 2021, elle devrait être modifiée en 1er janvier 2024." xr:uid="{00000000-0002-0000-0100-000000000000}">
          <x14:formula1>
            <xm:f>'Informations générales 1'!$C$26</xm:f>
          </x14:formula1>
          <x14:formula2>
            <xm:f>'Informations générales 1'!$C$27</xm:f>
          </x14:formula2>
          <xm:sqref>K8:K47</xm:sqref>
        </x14:dataValidation>
        <x14:dataValidation type="list" allowBlank="1" showInputMessage="1" showErrorMessage="1" xr:uid="{00000000-0002-0000-0100-000001000000}">
          <x14:formula1>
            <xm:f>'Variable et Dropdowns'!$C$2:$C$3</xm:f>
          </x14:formula1>
          <xm:sqref>J8:J47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pageSetUpPr fitToPage="1"/>
  </sheetPr>
  <dimension ref="B1:E82"/>
  <sheetViews>
    <sheetView zoomScaleNormal="100" workbookViewId="0">
      <selection activeCell="C7" sqref="C7"/>
    </sheetView>
  </sheetViews>
  <sheetFormatPr defaultColWidth="9.140625" defaultRowHeight="15.75" x14ac:dyDescent="0.25"/>
  <cols>
    <col min="1" max="1" width="9.140625" style="2"/>
    <col min="2" max="2" width="83.5703125" style="2" bestFit="1" customWidth="1"/>
    <col min="3" max="3" width="36.28515625" style="377" bestFit="1" customWidth="1"/>
    <col min="4" max="4" width="17.85546875" style="11" customWidth="1"/>
    <col min="5" max="5" width="107.42578125" style="73" bestFit="1" customWidth="1"/>
    <col min="6" max="16384" width="9.140625" style="2"/>
  </cols>
  <sheetData>
    <row r="1" spans="2:3" x14ac:dyDescent="0.25">
      <c r="B1" s="11" t="str">
        <f>'Informations générales 1'!B7</f>
        <v>DECOMPTE ANNUEL</v>
      </c>
    </row>
    <row r="2" spans="2:3" x14ac:dyDescent="0.25">
      <c r="B2" s="11" t="str">
        <f>'Informations générales 1'!C20&amp;" - "&amp;'Informations générales 1'!C24</f>
        <v>Nom Gestionnaire - Nom SEA</v>
      </c>
    </row>
    <row r="3" spans="2:3" x14ac:dyDescent="0.25">
      <c r="B3" s="19">
        <f>'Informations générales 1'!C10</f>
        <v>2024</v>
      </c>
    </row>
    <row r="5" spans="2:3" x14ac:dyDescent="0.25">
      <c r="B5" s="11" t="s">
        <v>32</v>
      </c>
    </row>
    <row r="7" spans="2:3" x14ac:dyDescent="0.25">
      <c r="B7" s="2" t="s">
        <v>33</v>
      </c>
      <c r="C7" s="239"/>
    </row>
    <row r="9" spans="2:3" hidden="1" x14ac:dyDescent="0.25">
      <c r="B9" s="11" t="s">
        <v>41</v>
      </c>
    </row>
    <row r="10" spans="2:3" hidden="1" x14ac:dyDescent="0.25"/>
    <row r="11" spans="2:3" hidden="1" x14ac:dyDescent="0.25"/>
    <row r="12" spans="2:3" hidden="1" x14ac:dyDescent="0.25">
      <c r="B12" s="2" t="str">
        <f>"Nombre d'enfants masculins au 30/11/"&amp;'Informations générales 1'!C10</f>
        <v>Nombre d'enfants masculins au 30/11/2024</v>
      </c>
      <c r="C12" s="458"/>
    </row>
    <row r="13" spans="2:3" hidden="1" x14ac:dyDescent="0.25">
      <c r="B13" s="2" t="str">
        <f>"Nombre d'enfants féminins au 30/11/"&amp;'Informations générales 1'!C10</f>
        <v>Nombre d'enfants féminins au 30/11/2024</v>
      </c>
      <c r="C13" s="458"/>
    </row>
    <row r="14" spans="2:3" hidden="1" x14ac:dyDescent="0.25">
      <c r="B14" s="11" t="s">
        <v>42</v>
      </c>
      <c r="C14" s="188">
        <f>SUM(C12:C13)</f>
        <v>0</v>
      </c>
    </row>
    <row r="15" spans="2:3" hidden="1" x14ac:dyDescent="0.25"/>
    <row r="16" spans="2:3" hidden="1" x14ac:dyDescent="0.25"/>
    <row r="17" spans="2:5" hidden="1" x14ac:dyDescent="0.25">
      <c r="B17" s="2" t="str">
        <f>"Nombre d'enfants inscrits au 30/11/"&amp;'Informations générales 1'!C10&amp;"  (&lt; 2 ans)"</f>
        <v>Nombre d'enfants inscrits au 30/11/2024  (&lt; 2 ans)</v>
      </c>
      <c r="C17" s="458"/>
    </row>
    <row r="18" spans="2:5" hidden="1" x14ac:dyDescent="0.25">
      <c r="B18" s="2" t="str">
        <f>"Nombre d'enfants inscrits au 30/11/"&amp;'Informations générales 1'!C10&amp;"  (2-4 ans)"</f>
        <v>Nombre d'enfants inscrits au 30/11/2024  (2-4 ans)</v>
      </c>
      <c r="C18" s="458"/>
    </row>
    <row r="19" spans="2:5" hidden="1" x14ac:dyDescent="0.25">
      <c r="B19" s="2" t="s">
        <v>43</v>
      </c>
      <c r="C19" s="458"/>
      <c r="D19" s="11" t="s">
        <v>65</v>
      </c>
    </row>
    <row r="20" spans="2:5" hidden="1" x14ac:dyDescent="0.25">
      <c r="B20" s="2" t="str">
        <f>"Nombre d'enfants inscrits au 30/11/"&amp;'Informations générales 1'!C10&amp;"  (4-12 ans)"</f>
        <v>Nombre d'enfants inscrits au 30/11/2024  (4-12 ans)</v>
      </c>
      <c r="C20" s="458"/>
    </row>
    <row r="21" spans="2:5" hidden="1" x14ac:dyDescent="0.25">
      <c r="B21" s="11" t="s">
        <v>42</v>
      </c>
      <c r="C21" s="188">
        <f>SUM(C17,C18,C20)</f>
        <v>0</v>
      </c>
    </row>
    <row r="22" spans="2:5" hidden="1" x14ac:dyDescent="0.25"/>
    <row r="23" spans="2:5" hidden="1" x14ac:dyDescent="0.25">
      <c r="B23" s="2" t="s">
        <v>44</v>
      </c>
      <c r="C23" s="459"/>
      <c r="D23" s="11" t="s">
        <v>66</v>
      </c>
    </row>
    <row r="24" spans="2:5" hidden="1" x14ac:dyDescent="0.25"/>
    <row r="25" spans="2:5" x14ac:dyDescent="0.25">
      <c r="B25" s="11" t="s">
        <v>45</v>
      </c>
    </row>
    <row r="26" spans="2:5" x14ac:dyDescent="0.25">
      <c r="B26" s="2" t="str">
        <f>"Heures de présence suivant chèque-service (heures facturées "&amp;'Informations générales 1'!C10&amp;")"</f>
        <v>Heures de présence suivant chèque-service (heures facturées 2024)</v>
      </c>
      <c r="C26" s="460"/>
      <c r="D26" s="11" t="s">
        <v>67</v>
      </c>
    </row>
    <row r="28" spans="2:5" x14ac:dyDescent="0.25">
      <c r="B28" s="11" t="s">
        <v>46</v>
      </c>
    </row>
    <row r="29" spans="2:5" x14ac:dyDescent="0.25">
      <c r="B29" s="2" t="str">
        <f>"Heures d'encadrement budgétées pour "&amp;'Informations générales 1'!C10&amp;" (cf.convention "&amp;'Informations générales 1'!C10&amp;")"</f>
        <v>Heures d'encadrement budgétées pour 2024 (cf.convention 2024)</v>
      </c>
      <c r="C29" s="460"/>
      <c r="D29" s="11" t="s">
        <v>67</v>
      </c>
    </row>
    <row r="30" spans="2:5" x14ac:dyDescent="0.25">
      <c r="B30" s="2" t="str">
        <f>"Heures d'encadrement réelles pour "&amp;'Informations générales 1'!C10&amp;" (selon PGI)"</f>
        <v>Heures d'encadrement réelles pour 2024 (selon PGI)</v>
      </c>
      <c r="C30" s="460"/>
      <c r="D30" s="11" t="s">
        <v>67</v>
      </c>
    </row>
    <row r="31" spans="2:5" x14ac:dyDescent="0.25">
      <c r="B31" s="11" t="str">
        <f>"Heures d'encadrement prises en compte pour le décompte "&amp;'Informations générales 1'!C10 &amp;" (heures réelles/"&amp;delta&amp;")"</f>
        <v>Heures d'encadrement prises en compte pour le décompte 2024 (heures réelles/0,75)</v>
      </c>
      <c r="C31" s="188">
        <f>C30/delta</f>
        <v>0</v>
      </c>
      <c r="D31" s="11" t="s">
        <v>67</v>
      </c>
    </row>
    <row r="32" spans="2:5" x14ac:dyDescent="0.25">
      <c r="B32" s="2" t="str">
        <f>"Heures de présence des enfants budgétées pour "&amp;'Informations générales 1'!C10&amp;" (cf.convention "&amp;'Informations générales 1'!C10&amp;")"</f>
        <v>Heures de présence des enfants budgétées pour 2024 (cf.convention 2024)</v>
      </c>
      <c r="C32" s="460"/>
      <c r="D32" s="11" t="s">
        <v>67</v>
      </c>
      <c r="E32" s="74"/>
    </row>
    <row r="33" spans="2:5" x14ac:dyDescent="0.25">
      <c r="B33" s="2" t="str">
        <f>"Heures de présence réelles des enfants "&amp;'Informations générales 1'!C10&amp;" (selon PGI)"</f>
        <v>Heures de présence réelles des enfants 2024 (selon PGI)</v>
      </c>
      <c r="C33" s="460"/>
      <c r="D33" s="11" t="s">
        <v>67</v>
      </c>
      <c r="E33" s="74" t="str">
        <f>IF('Informations générales 2'!I6='Informations générales 3'!C33,"","&lt;-- Le total des heures réelles ( Informations générales 2) ne correspond pas")</f>
        <v/>
      </c>
    </row>
    <row r="34" spans="2:5" x14ac:dyDescent="0.25">
      <c r="B34" s="11" t="str">
        <f>"Heures de présence prises en compte pour le décompte "&amp;'Informations générales 1'!C10 &amp;" (heures réelles/"&amp;delta&amp;")"</f>
        <v>Heures de présence prises en compte pour le décompte 2024 (heures réelles/0,75)</v>
      </c>
      <c r="C34" s="188">
        <f>C33/delta</f>
        <v>0</v>
      </c>
      <c r="D34" s="11" t="s">
        <v>67</v>
      </c>
    </row>
    <row r="35" spans="2:5" x14ac:dyDescent="0.25">
      <c r="B35" s="11" t="s">
        <v>47</v>
      </c>
    </row>
    <row r="36" spans="2:5" x14ac:dyDescent="0.25">
      <c r="B36" s="2" t="str">
        <f>"Heures annuelles des Projets spécifiques accordées pour "&amp;'Informations générales 1'!C10</f>
        <v>Heures annuelles des Projets spécifiques accordées pour 2024</v>
      </c>
      <c r="C36" s="460"/>
      <c r="D36" s="11" t="s">
        <v>68</v>
      </c>
    </row>
    <row r="37" spans="2:5" x14ac:dyDescent="0.25">
      <c r="B37" s="2" t="str">
        <f>"Frais de fonctionnement Projets spécifiques accordés pour "&amp;'Informations générales 1'!C10</f>
        <v>Frais de fonctionnement Projets spécifiques accordés pour 2024</v>
      </c>
      <c r="C37" s="460"/>
      <c r="D37" s="11" t="s">
        <v>69</v>
      </c>
    </row>
    <row r="39" spans="2:5" x14ac:dyDescent="0.25">
      <c r="B39" s="11" t="s">
        <v>48</v>
      </c>
    </row>
    <row r="40" spans="2:5" x14ac:dyDescent="0.25">
      <c r="B40" s="2" t="s">
        <v>49</v>
      </c>
      <c r="C40" s="386"/>
    </row>
    <row r="41" spans="2:5" x14ac:dyDescent="0.25">
      <c r="B41" s="2" t="s">
        <v>718</v>
      </c>
      <c r="C41" s="460"/>
      <c r="D41" s="11" t="s">
        <v>68</v>
      </c>
    </row>
    <row r="42" spans="2:5" x14ac:dyDescent="0.25">
      <c r="B42" s="2" t="s">
        <v>719</v>
      </c>
      <c r="C42" s="460"/>
      <c r="D42" s="11" t="s">
        <v>68</v>
      </c>
    </row>
    <row r="43" spans="2:5" x14ac:dyDescent="0.25">
      <c r="B43" s="2" t="s">
        <v>713</v>
      </c>
      <c r="C43" s="188">
        <f>C41/7.33*0.1</f>
        <v>0</v>
      </c>
      <c r="D43" s="551" t="s">
        <v>706</v>
      </c>
    </row>
    <row r="45" spans="2:5" x14ac:dyDescent="0.25">
      <c r="B45" s="11" t="s">
        <v>50</v>
      </c>
    </row>
    <row r="46" spans="2:5" x14ac:dyDescent="0.25">
      <c r="B46" s="2" t="s">
        <v>51</v>
      </c>
      <c r="C46" s="188">
        <f>SUM(C47:C48)</f>
        <v>0</v>
      </c>
      <c r="D46" s="11" t="s">
        <v>70</v>
      </c>
    </row>
    <row r="47" spans="2:5" x14ac:dyDescent="0.25">
      <c r="B47" s="2" t="s">
        <v>52</v>
      </c>
      <c r="C47" s="458"/>
      <c r="D47" s="11" t="s">
        <v>70</v>
      </c>
      <c r="E47" s="74" t="str">
        <f>IF($C$49="NON",IF(C47="","&lt;--Veuillez indiquer le nombre de repas servis préparés sur place.",""),"")</f>
        <v/>
      </c>
    </row>
    <row r="48" spans="2:5" x14ac:dyDescent="0.25">
      <c r="B48" s="2" t="s">
        <v>53</v>
      </c>
      <c r="C48" s="458"/>
      <c r="D48" s="11" t="s">
        <v>70</v>
      </c>
      <c r="E48" s="74" t="str">
        <f>IF($C$49="Oui",IF(C48="","&lt;--Veuillez indiquer le nombre de repas servis préparés en externe.",""),"")</f>
        <v/>
      </c>
    </row>
    <row r="49" spans="2:5" x14ac:dyDescent="0.25">
      <c r="B49" s="2" t="s">
        <v>54</v>
      </c>
      <c r="C49" s="239"/>
    </row>
    <row r="50" spans="2:5" x14ac:dyDescent="0.25">
      <c r="B50" s="2" t="s">
        <v>720</v>
      </c>
      <c r="C50" s="460"/>
      <c r="D50" s="11" t="s">
        <v>604</v>
      </c>
      <c r="E50" s="74" t="str">
        <f>IF($C$49="OUI",IF(C50="","&lt;--Veuillez indiquer le prix par repas unitaire.",""),"")</f>
        <v/>
      </c>
    </row>
    <row r="51" spans="2:5" ht="29.25" customHeight="1" x14ac:dyDescent="0.25">
      <c r="B51" s="22" t="s">
        <v>56</v>
      </c>
      <c r="C51" s="239"/>
      <c r="D51" s="11" t="s">
        <v>71</v>
      </c>
    </row>
    <row r="52" spans="2:5" x14ac:dyDescent="0.25">
      <c r="B52" s="2" t="s">
        <v>715</v>
      </c>
      <c r="C52" s="239"/>
      <c r="E52" s="74" t="str">
        <f>IF(AND(C52="NON",REVEX!C80&gt;0)=TRUE,"&lt;-- Vous avez sélectionné 'non', cependant, il y a des recettes enregistrées au niveau de la fonction Repas.","")</f>
        <v/>
      </c>
    </row>
    <row r="53" spans="2:5" x14ac:dyDescent="0.25">
      <c r="B53" s="2" t="s">
        <v>716</v>
      </c>
      <c r="C53" s="460"/>
      <c r="D53" s="11" t="s">
        <v>604</v>
      </c>
      <c r="E53" s="74" t="str">
        <f>IF($C$52="Oui",IF(C53="","&lt;--Veuillez indiquer le prix par repas unitaire",""),"")</f>
        <v/>
      </c>
    </row>
    <row r="54" spans="2:5" x14ac:dyDescent="0.25">
      <c r="B54" s="2" t="s">
        <v>59</v>
      </c>
      <c r="C54" s="458"/>
      <c r="D54" s="11" t="s">
        <v>70</v>
      </c>
      <c r="E54" s="74" t="str">
        <f>IF($C$52="Oui",IF(C54="","&lt;--Veuillez indiquer le nombre de repas facturés.",""),"")</f>
        <v/>
      </c>
    </row>
    <row r="56" spans="2:5" x14ac:dyDescent="0.25">
      <c r="B56" s="11" t="s">
        <v>60</v>
      </c>
    </row>
    <row r="57" spans="2:5" x14ac:dyDescent="0.25">
      <c r="B57" s="2" t="s">
        <v>54</v>
      </c>
      <c r="C57" s="239"/>
    </row>
    <row r="58" spans="2:5" ht="30.75" customHeight="1" x14ac:dyDescent="0.25">
      <c r="B58" s="22" t="s">
        <v>56</v>
      </c>
      <c r="C58" s="239"/>
      <c r="E58" s="74" t="str">
        <f>IF(OR(AND(C57="OUI",REVEX!G135&gt;0),AND(C57="NON",REVEX!G135=0)),"&lt;-- Incohérence avec les heures de nettoyage interne","")</f>
        <v/>
      </c>
    </row>
    <row r="59" spans="2:5" x14ac:dyDescent="0.25">
      <c r="B59" s="2" t="s">
        <v>61</v>
      </c>
      <c r="C59" s="460"/>
      <c r="D59" s="11" t="s">
        <v>68</v>
      </c>
      <c r="E59" s="74" t="str">
        <f>IF(C57="","",IF(C57="NON","",IF(C59="","&lt;-- Veuillez indiquer les heures de nettoyage externe par semaine","")))</f>
        <v/>
      </c>
    </row>
    <row r="61" spans="2:5" x14ac:dyDescent="0.25">
      <c r="B61" s="11" t="s">
        <v>62</v>
      </c>
    </row>
    <row r="62" spans="2:5" x14ac:dyDescent="0.25">
      <c r="B62" s="2" t="s">
        <v>63</v>
      </c>
      <c r="C62" s="239"/>
    </row>
    <row r="63" spans="2:5" x14ac:dyDescent="0.25">
      <c r="B63" s="2" t="s">
        <v>64</v>
      </c>
      <c r="C63" s="239"/>
    </row>
    <row r="65" spans="2:5" hidden="1" x14ac:dyDescent="0.25">
      <c r="B65" s="11" t="s">
        <v>680</v>
      </c>
    </row>
    <row r="66" spans="2:5" hidden="1" x14ac:dyDescent="0.25">
      <c r="B66" s="467" t="s">
        <v>602</v>
      </c>
    </row>
    <row r="67" spans="2:5" hidden="1" x14ac:dyDescent="0.25">
      <c r="B67" s="11" t="s">
        <v>599</v>
      </c>
      <c r="C67" s="468" t="s">
        <v>600</v>
      </c>
    </row>
    <row r="68" spans="2:5" s="24" customFormat="1" ht="15" hidden="1" x14ac:dyDescent="0.25">
      <c r="C68" s="452"/>
    </row>
    <row r="69" spans="2:5" hidden="1" x14ac:dyDescent="0.25">
      <c r="B69" s="2" t="s">
        <v>596</v>
      </c>
      <c r="C69" s="454"/>
      <c r="D69" s="2"/>
    </row>
    <row r="70" spans="2:5" hidden="1" x14ac:dyDescent="0.25">
      <c r="B70" s="2" t="str">
        <f>"Remboursement mutualité "&amp;'Informations générales 1'!C10-1</f>
        <v>Remboursement mutualité 2023</v>
      </c>
      <c r="C70" s="453"/>
      <c r="D70" s="2" t="s">
        <v>69</v>
      </c>
    </row>
    <row r="71" spans="2:5" hidden="1" x14ac:dyDescent="0.25">
      <c r="B71" s="2" t="str">
        <f>"Heures de maladies "&amp;'Informations générales 1'!C10-1</f>
        <v>Heures de maladies 2023</v>
      </c>
      <c r="C71" s="451"/>
      <c r="D71" s="2" t="s">
        <v>68</v>
      </c>
    </row>
    <row r="72" spans="2:5" hidden="1" x14ac:dyDescent="0.25">
      <c r="B72" s="2" t="str">
        <f>"Remboursement mutualité "&amp;'Informations générales 1'!C10</f>
        <v>Remboursement mutualité 2024</v>
      </c>
      <c r="C72" s="455">
        <f>'SALAIRES CCT SAS'!V4+'SALAIRES COMMUNE'!W4</f>
        <v>0</v>
      </c>
      <c r="D72" s="2" t="s">
        <v>69</v>
      </c>
    </row>
    <row r="73" spans="2:5" hidden="1" x14ac:dyDescent="0.25">
      <c r="B73" s="2" t="str">
        <f>"Heures de maladies "&amp;'Informations générales 1'!C10</f>
        <v>Heures de maladies 2024</v>
      </c>
      <c r="C73" s="455">
        <f>'SALAIRES CCT SAS'!O4+'SALAIRES COMMUNE'!Q4</f>
        <v>0</v>
      </c>
      <c r="D73" s="2" t="s">
        <v>68</v>
      </c>
    </row>
    <row r="74" spans="2:5" hidden="1" x14ac:dyDescent="0.25">
      <c r="B74" s="2" t="s">
        <v>601</v>
      </c>
      <c r="C74" s="456">
        <f>C73-C71</f>
        <v>0</v>
      </c>
      <c r="D74" s="2" t="s">
        <v>68</v>
      </c>
    </row>
    <row r="75" spans="2:5" hidden="1" x14ac:dyDescent="0.25">
      <c r="B75" s="2" t="s">
        <v>681</v>
      </c>
      <c r="C75" s="239" t="s">
        <v>29</v>
      </c>
    </row>
    <row r="76" spans="2:5" hidden="1" x14ac:dyDescent="0.25">
      <c r="B76" s="2" t="s">
        <v>682</v>
      </c>
      <c r="C76" s="239"/>
    </row>
    <row r="77" spans="2:5" hidden="1" x14ac:dyDescent="0.25"/>
    <row r="78" spans="2:5" x14ac:dyDescent="0.25">
      <c r="B78" s="11" t="s">
        <v>653</v>
      </c>
    </row>
    <row r="79" spans="2:5" x14ac:dyDescent="0.25">
      <c r="B79" s="2" t="s">
        <v>652</v>
      </c>
      <c r="C79" s="547"/>
      <c r="E79" s="74" t="str">
        <f>IF(AND(C79="NON",C80&gt;0)=TRUE,"&lt;-- Veuillez vérifier vos données",IF(AND(C79="OUI",C80=0,C81=0)=TRUE,"&lt;--Veuillez vérifier vos données",""))</f>
        <v/>
      </c>
    </row>
    <row r="80" spans="2:5" x14ac:dyDescent="0.25">
      <c r="B80" s="2" t="s">
        <v>671</v>
      </c>
      <c r="C80" s="475">
        <f>REVEX!C10</f>
        <v>0</v>
      </c>
    </row>
    <row r="81" spans="2:3" ht="30" x14ac:dyDescent="0.25">
      <c r="B81" s="5" t="s">
        <v>717</v>
      </c>
      <c r="C81" s="548"/>
    </row>
    <row r="82" spans="2:3" x14ac:dyDescent="0.25">
      <c r="B82" s="2" t="s">
        <v>656</v>
      </c>
      <c r="C82" s="475">
        <f>C80-C81</f>
        <v>0</v>
      </c>
    </row>
  </sheetData>
  <sheetProtection algorithmName="SHA-512" hashValue="N0UtnBtVZzj53jaF97sGKYCivjwgkkXszgg83jCkf0TItMqi7yrn6W73P0Ml0V7fcbS4X4AbM+Qw/AMJOd6kwQ==" saltValue="f4UJPqE8SPP4yt8MFUqN1A==" spinCount="100000" sheet="1" selectLockedCells="1"/>
  <dataValidations count="6">
    <dataValidation type="whole" allowBlank="1" showInputMessage="1" showErrorMessage="1" sqref="C23" xr:uid="{00000000-0002-0000-0200-000000000000}">
      <formula1>1</formula1>
      <formula2>52</formula2>
    </dataValidation>
    <dataValidation type="whole" operator="greaterThanOrEqual" allowBlank="1" showInputMessage="1" showErrorMessage="1" sqref="C12:C13 C17:C20 C54 C47:C48" xr:uid="{49D757F6-F5DE-41A0-8397-E360E7484E26}">
      <formula1>0</formula1>
    </dataValidation>
    <dataValidation type="decimal" operator="greaterThanOrEqual" allowBlank="1" showInputMessage="1" showErrorMessage="1" sqref="C53 C59 C70:C71 C26 C29:C34 C50 C41:C42" xr:uid="{9F5EC7F4-00DA-481C-B7CD-7F89BCA6204A}">
      <formula1>0</formula1>
    </dataValidation>
    <dataValidation type="decimal" allowBlank="1" showInputMessage="1" showErrorMessage="1" sqref="C69" xr:uid="{3441AB12-3BCE-4722-8221-934F5F5D3309}">
      <formula1>0</formula1>
      <formula2>1</formula2>
    </dataValidation>
    <dataValidation type="decimal" operator="greaterThanOrEqual" allowBlank="1" showInputMessage="1" showErrorMessage="1" promptTitle="Projets spécifiques (Heures)" prompt="Notez uniquement les heures pour les &quot;projets spécifiques&quot; du MENJE et joignez l'accord. Les heures de renfort temporaire vont dans l'onglet dédié." sqref="C36" xr:uid="{D3A869C9-C9D0-4243-B4CD-3A16DF179F2A}">
      <formula1>0</formula1>
    </dataValidation>
    <dataValidation type="decimal" operator="greaterThanOrEqual" allowBlank="1" showInputMessage="1" showErrorMessage="1" promptTitle="Projet spécifique (Frais)" prompt="Merci de spécifier uniquement les frais de fonctionnement accordés pour les &quot;projets spécifiques&quot; par le MENJE, et veuillez également inclure une copie de l'accord lors de l'envoi de ce décompte." sqref="C37" xr:uid="{A4573C21-FD66-439F-B5B8-D44EFB32E50B}">
      <formula1>0</formula1>
    </dataValidation>
  </dataValidations>
  <pageMargins left="0.7" right="0.7" top="0.75" bottom="0.75" header="0.3" footer="0.3"/>
  <pageSetup paperSize="9" scale="10"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D6BDC445-5D17-4CDA-8347-21D997D56BCB}">
            <xm:f>$C$67='Variable et Dropdowns'!$A$7</xm:f>
            <x14:dxf>
              <font>
                <color theme="0"/>
              </font>
              <fill>
                <patternFill>
                  <bgColor theme="0"/>
                </patternFill>
              </fill>
              <border>
                <left/>
                <right/>
                <top/>
                <bottom/>
                <vertical/>
                <horizontal/>
              </border>
            </x14:dxf>
          </x14:cfRule>
          <xm:sqref>B69:C69</xm:sqref>
        </x14:conditionalFormatting>
        <x14:conditionalFormatting xmlns:xm="http://schemas.microsoft.com/office/excel/2006/main">
          <x14:cfRule type="expression" priority="4" id="{7D5EB44E-159B-4A9D-8B2E-193538425E3F}">
            <xm:f>$C$67='Variable et Dropdowns'!$A$6</xm:f>
            <x14:dxf>
              <font>
                <color theme="0"/>
              </font>
              <fill>
                <patternFill>
                  <bgColor theme="0"/>
                </patternFill>
              </fill>
              <border>
                <left/>
                <right/>
                <top/>
                <bottom/>
                <vertical/>
                <horizontal/>
              </border>
            </x14:dxf>
          </x14:cfRule>
          <xm:sqref>B70:C74</xm:sqref>
        </x14:conditionalFormatting>
        <x14:conditionalFormatting xmlns:xm="http://schemas.microsoft.com/office/excel/2006/main">
          <x14:cfRule type="expression" priority="3" id="{CC0E6CAD-68B1-460D-9D05-C0DE8B958A2F}">
            <xm:f>$C$67='Variable et Dropdowns'!$A$7</xm:f>
            <x14:dxf>
              <font>
                <color theme="0"/>
              </font>
              <fill>
                <patternFill>
                  <bgColor theme="0"/>
                </patternFill>
              </fill>
              <border>
                <left/>
                <right/>
                <top/>
                <bottom/>
                <vertical/>
                <horizontal/>
              </border>
            </x14:dxf>
          </x14:cfRule>
          <xm:sqref>D69</xm:sqref>
        </x14:conditionalFormatting>
        <x14:conditionalFormatting xmlns:xm="http://schemas.microsoft.com/office/excel/2006/main">
          <x14:cfRule type="expression" priority="2" id="{C2B7409E-4887-401A-9CF5-7033D209D57F}">
            <xm:f>$C$67='Variable et Dropdowns'!$A$6</xm:f>
            <x14:dxf>
              <font>
                <color theme="0"/>
              </font>
              <fill>
                <patternFill>
                  <bgColor theme="0"/>
                </patternFill>
              </fill>
              <border>
                <left/>
                <right/>
                <top/>
                <bottom/>
                <vertical/>
                <horizontal/>
              </border>
            </x14:dxf>
          </x14:cfRule>
          <xm:sqref>D70:D73</xm:sqref>
        </x14:conditionalFormatting>
        <x14:conditionalFormatting xmlns:xm="http://schemas.microsoft.com/office/excel/2006/main">
          <x14:cfRule type="expression" priority="1" id="{DE6CC717-004F-4360-98E5-AF574ACC1DE6}">
            <xm:f>$C$67='Variable et Dropdowns'!$A$6</xm:f>
            <x14:dxf>
              <font>
                <color theme="0"/>
              </font>
              <fill>
                <patternFill>
                  <bgColor theme="0"/>
                </patternFill>
              </fill>
              <border>
                <left/>
                <right/>
                <top/>
                <bottom/>
                <vertical/>
                <horizontal/>
              </border>
            </x14:dxf>
          </x14:cfRule>
          <xm:sqref>D74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promptTitle="Gestionnaire" xr:uid="{00000000-0002-0000-0200-000002000000}">
          <x14:formula1>
            <xm:f>'Variable et Dropdowns'!$D$2:$D$9</xm:f>
          </x14:formula1>
          <xm:sqref>C7</xm:sqref>
        </x14:dataValidation>
        <x14:dataValidation type="list" allowBlank="1" showInputMessage="1" showErrorMessage="1" xr:uid="{00000000-0002-0000-0200-000003000000}">
          <x14:formula1>
            <xm:f>'Variable et Dropdowns'!$C$2:$C$3</xm:f>
          </x14:formula1>
          <xm:sqref>C49 C52 C75</xm:sqref>
        </x14:dataValidation>
        <x14:dataValidation type="list" allowBlank="1" showInputMessage="1" showErrorMessage="1" xr:uid="{00000000-0002-0000-0200-000004000000}">
          <x14:formula1>
            <xm:f>'Variable et Dropdowns'!$C$2:$C$4</xm:f>
          </x14:formula1>
          <xm:sqref>C57</xm:sqref>
        </x14:dataValidation>
        <x14:dataValidation type="list" allowBlank="1" showInputMessage="1" showErrorMessage="1" xr:uid="{00000000-0002-0000-0200-000005000000}">
          <x14:formula1>
            <xm:f>'Variable et Dropdowns'!$E$2:$E$4</xm:f>
          </x14:formula1>
          <xm:sqref>C62</xm:sqref>
        </x14:dataValidation>
        <x14:dataValidation type="list" allowBlank="1" showInputMessage="1" showErrorMessage="1" xr:uid="{00000000-0002-0000-0200-000006000000}">
          <x14:formula1>
            <xm:f>'Variable et Dropdowns'!$F$2:$F$5</xm:f>
          </x14:formula1>
          <xm:sqref>C63</xm:sqref>
        </x14:dataValidation>
        <x14:dataValidation type="list" allowBlank="1" showInputMessage="1" showErrorMessage="1" xr:uid="{F351D3FF-05AC-40E8-B119-A29A62EB8E1B}">
          <x14:formula1>
            <xm:f>'Variable et Dropdowns'!$A$6:$A$7</xm:f>
          </x14:formula1>
          <xm:sqref>C68</xm:sqref>
        </x14:dataValidation>
        <x14:dataValidation type="list" allowBlank="1" showInputMessage="1" showErrorMessage="1" xr:uid="{39B5F1B8-87E4-4129-881F-F506E4BDD03B}">
          <x14:formula1>
            <xm:f>'Variable et Dropdowns'!$A$6</xm:f>
          </x14:formula1>
          <xm:sqref>C67</xm:sqref>
        </x14:dataValidation>
        <x14:dataValidation type="list" allowBlank="1" showInputMessage="1" showErrorMessage="1" promptTitle="Plan d'Encadrement Périscolaire" prompt="Si &quot;OUI&quot;, veuillez également inclure une copie de la convention PEP lors de l'envoi du décompte." xr:uid="{486B14BC-512B-4B42-8373-1D475E1097B4}">
          <x14:formula1>
            <xm:f>'Variable et Dropdowns'!$C$2:$C$3</xm:f>
          </x14:formula1>
          <xm:sqref>C79</xm:sqref>
        </x14:dataValidation>
        <x14:dataValidation type="date" allowBlank="1" showInputMessage="1" showErrorMessage="1" xr:uid="{00000000-0002-0000-0200-000001000000}">
          <x14:formula1>
            <xm:f>DATE('Informations générales 1'!C10,1,1)</xm:f>
          </x14:formula1>
          <x14:formula2>
            <xm:f>DATE('Informations générales 1'!C10,12,31)</xm:f>
          </x14:formula2>
          <xm:sqref>C40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pageSetUpPr fitToPage="1"/>
  </sheetPr>
  <dimension ref="B1:H65"/>
  <sheetViews>
    <sheetView workbookViewId="0">
      <selection activeCell="C15" sqref="C15"/>
    </sheetView>
  </sheetViews>
  <sheetFormatPr defaultColWidth="9.140625" defaultRowHeight="15" x14ac:dyDescent="0.25"/>
  <cols>
    <col min="1" max="2" width="9.140625" style="2"/>
    <col min="3" max="3" width="38.140625" style="2" bestFit="1" customWidth="1"/>
    <col min="4" max="5" width="23.42578125" style="2" customWidth="1"/>
    <col min="6" max="6" width="18.28515625" style="2" customWidth="1"/>
    <col min="7" max="16384" width="9.140625" style="2"/>
  </cols>
  <sheetData>
    <row r="1" spans="2:8" x14ac:dyDescent="0.25">
      <c r="B1" s="11" t="str">
        <f>'Informations générales 1'!B7</f>
        <v>DECOMPTE ANNUEL</v>
      </c>
    </row>
    <row r="2" spans="2:8" x14ac:dyDescent="0.25">
      <c r="B2" s="11" t="str">
        <f>'Informations générales 1'!C20&amp;" - "&amp;'Informations générales 1'!C24</f>
        <v>Nom Gestionnaire - Nom SEA</v>
      </c>
    </row>
    <row r="3" spans="2:8" x14ac:dyDescent="0.25">
      <c r="B3" s="19">
        <f>'Informations générales 1'!C10</f>
        <v>2024</v>
      </c>
    </row>
    <row r="5" spans="2:8" x14ac:dyDescent="0.25">
      <c r="B5" s="11" t="s">
        <v>78</v>
      </c>
    </row>
    <row r="8" spans="2:8" x14ac:dyDescent="0.25">
      <c r="C8" s="71" t="s">
        <v>79</v>
      </c>
    </row>
    <row r="9" spans="2:8" x14ac:dyDescent="0.25">
      <c r="C9" s="186" t="s">
        <v>80</v>
      </c>
      <c r="D9" s="27"/>
      <c r="E9" s="72" t="str">
        <f>IF(F13=0,"","&lt;-- Veuillez indiquer l'"&amp;C9)</f>
        <v/>
      </c>
    </row>
    <row r="10" spans="2:8" x14ac:dyDescent="0.25">
      <c r="C10" s="186" t="s">
        <v>81</v>
      </c>
      <c r="D10" s="27"/>
      <c r="E10" s="72" t="str">
        <f>IF(F13=0,"","&lt;-- Veuillez indiquer le code'"&amp;C10)</f>
        <v/>
      </c>
    </row>
    <row r="13" spans="2:8" x14ac:dyDescent="0.25">
      <c r="E13" s="71" t="s">
        <v>31</v>
      </c>
      <c r="F13" s="385">
        <f>BPI[[#Totals],[Aide étatique]]</f>
        <v>0</v>
      </c>
    </row>
    <row r="14" spans="2:8" x14ac:dyDescent="0.25">
      <c r="B14" s="28" t="s">
        <v>19</v>
      </c>
      <c r="C14" s="28" t="s">
        <v>82</v>
      </c>
      <c r="D14" s="28" t="s">
        <v>83</v>
      </c>
      <c r="E14" s="28" t="s">
        <v>84</v>
      </c>
      <c r="F14" s="28" t="s">
        <v>85</v>
      </c>
    </row>
    <row r="15" spans="2:8" x14ac:dyDescent="0.25">
      <c r="B15" s="7">
        <v>1</v>
      </c>
      <c r="C15" s="8"/>
      <c r="D15" s="29"/>
      <c r="E15" s="29"/>
      <c r="F15" s="185" t="str">
        <f>IF(COUNTA(BPI[[#This Row],[Initiales du nom de l''enfant]:[au]])=3,(MONTH(BPI[[#This Row],[au]])-MONTH(BPI[[#This Row],[du]])+1)*100,"")</f>
        <v/>
      </c>
      <c r="H15" s="72" t="str">
        <f>IF(COUNTA(BPI[[#This Row],[Initiales du nom de l''enfant]:[au]])=0,"",IF(COUNTA(BPI[[#This Row],[Initiales du nom de l''enfant]:[au]])=3,"","&lt;-- Veuillez compléter tous les champs"))</f>
        <v/>
      </c>
    </row>
    <row r="16" spans="2:8" x14ac:dyDescent="0.25">
      <c r="B16" s="7">
        <v>2</v>
      </c>
      <c r="C16" s="8"/>
      <c r="D16" s="29"/>
      <c r="E16" s="29"/>
      <c r="F16" s="185" t="str">
        <f>IF(COUNTA(BPI[[#This Row],[Initiales du nom de l''enfant]:[au]])=3,(MONTH(BPI[[#This Row],[au]])-MONTH(BPI[[#This Row],[du]])+1)*100,"")</f>
        <v/>
      </c>
      <c r="H16" s="72" t="str">
        <f>IF(COUNTA(BPI[[#This Row],[Initiales du nom de l''enfant]:[au]])=0,"",IF(COUNTA(BPI[[#This Row],[Initiales du nom de l''enfant]:[au]])=3,"","&lt;-- Veuillez compléter tous les champs"))</f>
        <v/>
      </c>
    </row>
    <row r="17" spans="2:8" x14ac:dyDescent="0.25">
      <c r="B17" s="7">
        <v>3</v>
      </c>
      <c r="C17" s="8"/>
      <c r="D17" s="29"/>
      <c r="E17" s="29"/>
      <c r="F17" s="185" t="str">
        <f>IF(COUNTA(BPI[[#This Row],[Initiales du nom de l''enfant]:[au]])=3,(MONTH(BPI[[#This Row],[au]])-MONTH(BPI[[#This Row],[du]])+1)*100,"")</f>
        <v/>
      </c>
      <c r="H17" s="72" t="str">
        <f>IF(COUNTA(BPI[[#This Row],[Initiales du nom de l''enfant]:[au]])=0,"",IF(COUNTA(BPI[[#This Row],[Initiales du nom de l''enfant]:[au]])=3,"","&lt;-- Veuillez compléter tous les champs"))</f>
        <v/>
      </c>
    </row>
    <row r="18" spans="2:8" x14ac:dyDescent="0.25">
      <c r="B18" s="7">
        <v>4</v>
      </c>
      <c r="C18" s="8"/>
      <c r="D18" s="29"/>
      <c r="E18" s="29"/>
      <c r="F18" s="185" t="str">
        <f>IF(COUNTA(BPI[[#This Row],[Initiales du nom de l''enfant]:[au]])=3,(MONTH(BPI[[#This Row],[au]])-MONTH(BPI[[#This Row],[du]])+1)*100,"")</f>
        <v/>
      </c>
      <c r="H18" s="72" t="str">
        <f>IF(COUNTA(BPI[[#This Row],[Initiales du nom de l''enfant]:[au]])=0,"",IF(COUNTA(BPI[[#This Row],[Initiales du nom de l''enfant]:[au]])=3,"","&lt;-- Veuillez compléter tous les champs"))</f>
        <v/>
      </c>
    </row>
    <row r="19" spans="2:8" x14ac:dyDescent="0.25">
      <c r="B19" s="7">
        <v>5</v>
      </c>
      <c r="C19" s="8"/>
      <c r="D19" s="29"/>
      <c r="E19" s="29"/>
      <c r="F19" s="185" t="str">
        <f>IF(COUNTA(BPI[[#This Row],[Initiales du nom de l''enfant]:[au]])=3,(MONTH(BPI[[#This Row],[au]])-MONTH(BPI[[#This Row],[du]])+1)*100,"")</f>
        <v/>
      </c>
      <c r="H19" s="72" t="str">
        <f>IF(COUNTA(BPI[[#This Row],[Initiales du nom de l''enfant]:[au]])=0,"",IF(COUNTA(BPI[[#This Row],[Initiales du nom de l''enfant]:[au]])=3,"","&lt;-- Veuillez compléter tous les champs"))</f>
        <v/>
      </c>
    </row>
    <row r="20" spans="2:8" x14ac:dyDescent="0.25">
      <c r="B20" s="7">
        <v>6</v>
      </c>
      <c r="C20" s="8"/>
      <c r="D20" s="29"/>
      <c r="E20" s="29"/>
      <c r="F20" s="185" t="str">
        <f>IF(COUNTA(BPI[[#This Row],[Initiales du nom de l''enfant]:[au]])=3,(MONTH(BPI[[#This Row],[au]])-MONTH(BPI[[#This Row],[du]])+1)*100,"")</f>
        <v/>
      </c>
      <c r="H20" s="72" t="str">
        <f>IF(COUNTA(BPI[[#This Row],[Initiales du nom de l''enfant]:[au]])=0,"",IF(COUNTA(BPI[[#This Row],[Initiales du nom de l''enfant]:[au]])=3,"","&lt;-- Veuillez compléter tous les champs"))</f>
        <v/>
      </c>
    </row>
    <row r="21" spans="2:8" x14ac:dyDescent="0.25">
      <c r="B21" s="7">
        <v>7</v>
      </c>
      <c r="C21" s="8"/>
      <c r="D21" s="29"/>
      <c r="E21" s="29"/>
      <c r="F21" s="185" t="str">
        <f>IF(COUNTA(BPI[[#This Row],[Initiales du nom de l''enfant]:[au]])=3,(MONTH(BPI[[#This Row],[au]])-MONTH(BPI[[#This Row],[du]])+1)*100,"")</f>
        <v/>
      </c>
      <c r="H21" s="72" t="str">
        <f>IF(COUNTA(BPI[[#This Row],[Initiales du nom de l''enfant]:[au]])=0,"",IF(COUNTA(BPI[[#This Row],[Initiales du nom de l''enfant]:[au]])=3,"","&lt;-- Veuillez compléter tous les champs"))</f>
        <v/>
      </c>
    </row>
    <row r="22" spans="2:8" x14ac:dyDescent="0.25">
      <c r="B22" s="7">
        <v>8</v>
      </c>
      <c r="C22" s="8"/>
      <c r="D22" s="29"/>
      <c r="E22" s="29"/>
      <c r="F22" s="185" t="str">
        <f>IF(COUNTA(BPI[[#This Row],[Initiales du nom de l''enfant]:[au]])=3,(MONTH(BPI[[#This Row],[au]])-MONTH(BPI[[#This Row],[du]])+1)*100,"")</f>
        <v/>
      </c>
      <c r="H22" s="72" t="str">
        <f>IF(COUNTA(BPI[[#This Row],[Initiales du nom de l''enfant]:[au]])=0,"",IF(COUNTA(BPI[[#This Row],[Initiales du nom de l''enfant]:[au]])=3,"","&lt;-- Veuillez compléter tous les champs"))</f>
        <v/>
      </c>
    </row>
    <row r="23" spans="2:8" x14ac:dyDescent="0.25">
      <c r="B23" s="7">
        <v>9</v>
      </c>
      <c r="C23" s="8"/>
      <c r="D23" s="29"/>
      <c r="E23" s="29"/>
      <c r="F23" s="185" t="str">
        <f>IF(COUNTA(BPI[[#This Row],[Initiales du nom de l''enfant]:[au]])=3,(MONTH(BPI[[#This Row],[au]])-MONTH(BPI[[#This Row],[du]])+1)*100,"")</f>
        <v/>
      </c>
      <c r="H23" s="72" t="str">
        <f>IF(COUNTA(BPI[[#This Row],[Initiales du nom de l''enfant]:[au]])=0,"",IF(COUNTA(BPI[[#This Row],[Initiales du nom de l''enfant]:[au]])=3,"","&lt;-- Veuillez compléter tous les champs"))</f>
        <v/>
      </c>
    </row>
    <row r="24" spans="2:8" x14ac:dyDescent="0.25">
      <c r="B24" s="7">
        <v>10</v>
      </c>
      <c r="C24" s="8"/>
      <c r="D24" s="29"/>
      <c r="E24" s="29"/>
      <c r="F24" s="185" t="str">
        <f>IF(COUNTA(BPI[[#This Row],[Initiales du nom de l''enfant]:[au]])=3,(MONTH(BPI[[#This Row],[au]])-MONTH(BPI[[#This Row],[du]])+1)*100,"")</f>
        <v/>
      </c>
      <c r="H24" s="72" t="str">
        <f>IF(COUNTA(BPI[[#This Row],[Initiales du nom de l''enfant]:[au]])=0,"",IF(COUNTA(BPI[[#This Row],[Initiales du nom de l''enfant]:[au]])=3,"","&lt;-- Veuillez compléter tous les champs"))</f>
        <v/>
      </c>
    </row>
    <row r="25" spans="2:8" x14ac:dyDescent="0.25">
      <c r="B25" s="7">
        <v>11</v>
      </c>
      <c r="C25" s="8"/>
      <c r="D25" s="29"/>
      <c r="E25" s="29"/>
      <c r="F25" s="185" t="str">
        <f>IF(COUNTA(BPI[[#This Row],[Initiales du nom de l''enfant]:[au]])=3,(MONTH(BPI[[#This Row],[au]])-MONTH(BPI[[#This Row],[du]])+1)*100,"")</f>
        <v/>
      </c>
      <c r="H25" s="72" t="str">
        <f>IF(COUNTA(BPI[[#This Row],[Initiales du nom de l''enfant]:[au]])=0,"",IF(COUNTA(BPI[[#This Row],[Initiales du nom de l''enfant]:[au]])=3,"","&lt;-- Veuillez compléter tous les champs"))</f>
        <v/>
      </c>
    </row>
    <row r="26" spans="2:8" x14ac:dyDescent="0.25">
      <c r="B26" s="7">
        <v>12</v>
      </c>
      <c r="C26" s="8"/>
      <c r="D26" s="29"/>
      <c r="E26" s="29"/>
      <c r="F26" s="185" t="str">
        <f>IF(COUNTA(BPI[[#This Row],[Initiales du nom de l''enfant]:[au]])=3,(MONTH(BPI[[#This Row],[au]])-MONTH(BPI[[#This Row],[du]])+1)*100,"")</f>
        <v/>
      </c>
      <c r="H26" s="72" t="str">
        <f>IF(COUNTA(BPI[[#This Row],[Initiales du nom de l''enfant]:[au]])=0,"",IF(COUNTA(BPI[[#This Row],[Initiales du nom de l''enfant]:[au]])=3,"","&lt;-- Veuillez compléter tous les champs"))</f>
        <v/>
      </c>
    </row>
    <row r="27" spans="2:8" x14ac:dyDescent="0.25">
      <c r="B27" s="7">
        <v>13</v>
      </c>
      <c r="C27" s="8"/>
      <c r="D27" s="29"/>
      <c r="E27" s="29"/>
      <c r="F27" s="185" t="str">
        <f>IF(COUNTA(BPI[[#This Row],[Initiales du nom de l''enfant]:[au]])=3,(MONTH(BPI[[#This Row],[au]])-MONTH(BPI[[#This Row],[du]])+1)*100,"")</f>
        <v/>
      </c>
      <c r="H27" s="72" t="str">
        <f>IF(COUNTA(BPI[[#This Row],[Initiales du nom de l''enfant]:[au]])=0,"",IF(COUNTA(BPI[[#This Row],[Initiales du nom de l''enfant]:[au]])=3,"","&lt;-- Veuillez compléter tous les champs"))</f>
        <v/>
      </c>
    </row>
    <row r="28" spans="2:8" x14ac:dyDescent="0.25">
      <c r="B28" s="7">
        <v>14</v>
      </c>
      <c r="C28" s="8"/>
      <c r="D28" s="29"/>
      <c r="E28" s="29"/>
      <c r="F28" s="185" t="str">
        <f>IF(COUNTA(BPI[[#This Row],[Initiales du nom de l''enfant]:[au]])=3,(MONTH(BPI[[#This Row],[au]])-MONTH(BPI[[#This Row],[du]])+1)*100,"")</f>
        <v/>
      </c>
      <c r="H28" s="72" t="str">
        <f>IF(COUNTA(BPI[[#This Row],[Initiales du nom de l''enfant]:[au]])=0,"",IF(COUNTA(BPI[[#This Row],[Initiales du nom de l''enfant]:[au]])=3,"","&lt;-- Veuillez compléter tous les champs"))</f>
        <v/>
      </c>
    </row>
    <row r="29" spans="2:8" x14ac:dyDescent="0.25">
      <c r="B29" s="7">
        <v>15</v>
      </c>
      <c r="C29" s="8"/>
      <c r="D29" s="29"/>
      <c r="E29" s="29"/>
      <c r="F29" s="185" t="str">
        <f>IF(COUNTA(BPI[[#This Row],[Initiales du nom de l''enfant]:[au]])=3,(MONTH(BPI[[#This Row],[au]])-MONTH(BPI[[#This Row],[du]])+1)*100,"")</f>
        <v/>
      </c>
      <c r="H29" s="72" t="str">
        <f>IF(COUNTA(BPI[[#This Row],[Initiales du nom de l''enfant]:[au]])=0,"",IF(COUNTA(BPI[[#This Row],[Initiales du nom de l''enfant]:[au]])=3,"","&lt;-- Veuillez compléter tous les champs"))</f>
        <v/>
      </c>
    </row>
    <row r="30" spans="2:8" x14ac:dyDescent="0.25">
      <c r="B30" s="7">
        <v>16</v>
      </c>
      <c r="C30" s="8"/>
      <c r="D30" s="29"/>
      <c r="E30" s="29"/>
      <c r="F30" s="185" t="str">
        <f>IF(COUNTA(BPI[[#This Row],[Initiales du nom de l''enfant]:[au]])=3,(MONTH(BPI[[#This Row],[au]])-MONTH(BPI[[#This Row],[du]])+1)*100,"")</f>
        <v/>
      </c>
      <c r="H30" s="72" t="str">
        <f>IF(COUNTA(BPI[[#This Row],[Initiales du nom de l''enfant]:[au]])=0,"",IF(COUNTA(BPI[[#This Row],[Initiales du nom de l''enfant]:[au]])=3,"","&lt;-- Veuillez compléter tous les champs"))</f>
        <v/>
      </c>
    </row>
    <row r="31" spans="2:8" x14ac:dyDescent="0.25">
      <c r="B31" s="7">
        <v>17</v>
      </c>
      <c r="C31" s="8"/>
      <c r="D31" s="29"/>
      <c r="E31" s="29"/>
      <c r="F31" s="185" t="str">
        <f>IF(COUNTA(BPI[[#This Row],[Initiales du nom de l''enfant]:[au]])=3,(MONTH(BPI[[#This Row],[au]])-MONTH(BPI[[#This Row],[du]])+1)*100,"")</f>
        <v/>
      </c>
      <c r="H31" s="72" t="str">
        <f>IF(COUNTA(BPI[[#This Row],[Initiales du nom de l''enfant]:[au]])=0,"",IF(COUNTA(BPI[[#This Row],[Initiales du nom de l''enfant]:[au]])=3,"","&lt;-- Veuillez compléter tous les champs"))</f>
        <v/>
      </c>
    </row>
    <row r="32" spans="2:8" x14ac:dyDescent="0.25">
      <c r="B32" s="7">
        <v>18</v>
      </c>
      <c r="C32" s="8"/>
      <c r="D32" s="29"/>
      <c r="E32" s="29"/>
      <c r="F32" s="185" t="str">
        <f>IF(COUNTA(BPI[[#This Row],[Initiales du nom de l''enfant]:[au]])=3,(MONTH(BPI[[#This Row],[au]])-MONTH(BPI[[#This Row],[du]])+1)*100,"")</f>
        <v/>
      </c>
      <c r="H32" s="72" t="str">
        <f>IF(COUNTA(BPI[[#This Row],[Initiales du nom de l''enfant]:[au]])=0,"",IF(COUNTA(BPI[[#This Row],[Initiales du nom de l''enfant]:[au]])=3,"","&lt;-- Veuillez compléter tous les champs"))</f>
        <v/>
      </c>
    </row>
    <row r="33" spans="2:8" x14ac:dyDescent="0.25">
      <c r="B33" s="7">
        <v>19</v>
      </c>
      <c r="C33" s="8"/>
      <c r="D33" s="29"/>
      <c r="E33" s="29"/>
      <c r="F33" s="185" t="str">
        <f>IF(COUNTA(BPI[[#This Row],[Initiales du nom de l''enfant]:[au]])=3,(MONTH(BPI[[#This Row],[au]])-MONTH(BPI[[#This Row],[du]])+1)*100,"")</f>
        <v/>
      </c>
      <c r="H33" s="72" t="str">
        <f>IF(COUNTA(BPI[[#This Row],[Initiales du nom de l''enfant]:[au]])=0,"",IF(COUNTA(BPI[[#This Row],[Initiales du nom de l''enfant]:[au]])=3,"","&lt;-- Veuillez compléter tous les champs"))</f>
        <v/>
      </c>
    </row>
    <row r="34" spans="2:8" x14ac:dyDescent="0.25">
      <c r="B34" s="7">
        <v>20</v>
      </c>
      <c r="C34" s="8"/>
      <c r="D34" s="29"/>
      <c r="E34" s="29"/>
      <c r="F34" s="185" t="str">
        <f>IF(COUNTA(BPI[[#This Row],[Initiales du nom de l''enfant]:[au]])=3,(MONTH(BPI[[#This Row],[au]])-MONTH(BPI[[#This Row],[du]])+1)*100,"")</f>
        <v/>
      </c>
      <c r="H34" s="72" t="str">
        <f>IF(COUNTA(BPI[[#This Row],[Initiales du nom de l''enfant]:[au]])=0,"",IF(COUNTA(BPI[[#This Row],[Initiales du nom de l''enfant]:[au]])=3,"","&lt;-- Veuillez compléter tous les champs"))</f>
        <v/>
      </c>
    </row>
    <row r="35" spans="2:8" x14ac:dyDescent="0.25">
      <c r="B35" s="7">
        <v>21</v>
      </c>
      <c r="C35" s="8"/>
      <c r="D35" s="29"/>
      <c r="E35" s="29"/>
      <c r="F35" s="185" t="str">
        <f>IF(COUNTA(BPI[[#This Row],[Initiales du nom de l''enfant]:[au]])=3,(MONTH(BPI[[#This Row],[au]])-MONTH(BPI[[#This Row],[du]])+1)*100,"")</f>
        <v/>
      </c>
      <c r="H35" s="72" t="str">
        <f>IF(COUNTA(BPI[[#This Row],[Initiales du nom de l''enfant]:[au]])=0,"",IF(COUNTA(BPI[[#This Row],[Initiales du nom de l''enfant]:[au]])=3,"","&lt;-- Veuillez compléter tous les champs"))</f>
        <v/>
      </c>
    </row>
    <row r="36" spans="2:8" x14ac:dyDescent="0.25">
      <c r="B36" s="7">
        <v>22</v>
      </c>
      <c r="C36" s="8"/>
      <c r="D36" s="29"/>
      <c r="E36" s="29"/>
      <c r="F36" s="185" t="str">
        <f>IF(COUNTA(BPI[[#This Row],[Initiales du nom de l''enfant]:[au]])=3,(MONTH(BPI[[#This Row],[au]])-MONTH(BPI[[#This Row],[du]])+1)*100,"")</f>
        <v/>
      </c>
      <c r="H36" s="72" t="str">
        <f>IF(COUNTA(BPI[[#This Row],[Initiales du nom de l''enfant]:[au]])=0,"",IF(COUNTA(BPI[[#This Row],[Initiales du nom de l''enfant]:[au]])=3,"","&lt;-- Veuillez compléter tous les champs"))</f>
        <v/>
      </c>
    </row>
    <row r="37" spans="2:8" x14ac:dyDescent="0.25">
      <c r="B37" s="7">
        <v>23</v>
      </c>
      <c r="C37" s="8"/>
      <c r="D37" s="29"/>
      <c r="E37" s="29"/>
      <c r="F37" s="185" t="str">
        <f>IF(COUNTA(BPI[[#This Row],[Initiales du nom de l''enfant]:[au]])=3,(MONTH(BPI[[#This Row],[au]])-MONTH(BPI[[#This Row],[du]])+1)*100,"")</f>
        <v/>
      </c>
      <c r="H37" s="72" t="str">
        <f>IF(COUNTA(BPI[[#This Row],[Initiales du nom de l''enfant]:[au]])=0,"",IF(COUNTA(BPI[[#This Row],[Initiales du nom de l''enfant]:[au]])=3,"","&lt;-- Veuillez compléter tous les champs"))</f>
        <v/>
      </c>
    </row>
    <row r="38" spans="2:8" x14ac:dyDescent="0.25">
      <c r="B38" s="7">
        <v>24</v>
      </c>
      <c r="C38" s="8"/>
      <c r="D38" s="29"/>
      <c r="E38" s="29"/>
      <c r="F38" s="185" t="str">
        <f>IF(COUNTA(BPI[[#This Row],[Initiales du nom de l''enfant]:[au]])=3,(MONTH(BPI[[#This Row],[au]])-MONTH(BPI[[#This Row],[du]])+1)*100,"")</f>
        <v/>
      </c>
      <c r="H38" s="72" t="str">
        <f>IF(COUNTA(BPI[[#This Row],[Initiales du nom de l''enfant]:[au]])=0,"",IF(COUNTA(BPI[[#This Row],[Initiales du nom de l''enfant]:[au]])=3,"","&lt;-- Veuillez compléter tous les champs"))</f>
        <v/>
      </c>
    </row>
    <row r="39" spans="2:8" x14ac:dyDescent="0.25">
      <c r="B39" s="7">
        <v>25</v>
      </c>
      <c r="C39" s="8"/>
      <c r="D39" s="29"/>
      <c r="E39" s="29"/>
      <c r="F39" s="185" t="str">
        <f>IF(COUNTA(BPI[[#This Row],[Initiales du nom de l''enfant]:[au]])=3,(MONTH(BPI[[#This Row],[au]])-MONTH(BPI[[#This Row],[du]])+1)*100,"")</f>
        <v/>
      </c>
      <c r="H39" s="72" t="str">
        <f>IF(COUNTA(BPI[[#This Row],[Initiales du nom de l''enfant]:[au]])=0,"",IF(COUNTA(BPI[[#This Row],[Initiales du nom de l''enfant]:[au]])=3,"","&lt;-- Veuillez compléter tous les champs"))</f>
        <v/>
      </c>
    </row>
    <row r="40" spans="2:8" x14ac:dyDescent="0.25">
      <c r="B40" s="7">
        <v>26</v>
      </c>
      <c r="C40" s="8"/>
      <c r="D40" s="29"/>
      <c r="E40" s="29"/>
      <c r="F40" s="185" t="str">
        <f>IF(COUNTA(BPI[[#This Row],[Initiales du nom de l''enfant]:[au]])=3,(MONTH(BPI[[#This Row],[au]])-MONTH(BPI[[#This Row],[du]])+1)*100,"")</f>
        <v/>
      </c>
      <c r="H40" s="72" t="str">
        <f>IF(COUNTA(BPI[[#This Row],[Initiales du nom de l''enfant]:[au]])=0,"",IF(COUNTA(BPI[[#This Row],[Initiales du nom de l''enfant]:[au]])=3,"","&lt;-- Veuillez compléter tous les champs"))</f>
        <v/>
      </c>
    </row>
    <row r="41" spans="2:8" x14ac:dyDescent="0.25">
      <c r="B41" s="7">
        <v>27</v>
      </c>
      <c r="C41" s="8"/>
      <c r="D41" s="29"/>
      <c r="E41" s="29"/>
      <c r="F41" s="185" t="str">
        <f>IF(COUNTA(BPI[[#This Row],[Initiales du nom de l''enfant]:[au]])=3,(MONTH(BPI[[#This Row],[au]])-MONTH(BPI[[#This Row],[du]])+1)*100,"")</f>
        <v/>
      </c>
      <c r="H41" s="72" t="str">
        <f>IF(COUNTA(BPI[[#This Row],[Initiales du nom de l''enfant]:[au]])=0,"",IF(COUNTA(BPI[[#This Row],[Initiales du nom de l''enfant]:[au]])=3,"","&lt;-- Veuillez compléter tous les champs"))</f>
        <v/>
      </c>
    </row>
    <row r="42" spans="2:8" x14ac:dyDescent="0.25">
      <c r="B42" s="7">
        <v>28</v>
      </c>
      <c r="C42" s="8"/>
      <c r="D42" s="29"/>
      <c r="E42" s="29"/>
      <c r="F42" s="185" t="str">
        <f>IF(COUNTA(BPI[[#This Row],[Initiales du nom de l''enfant]:[au]])=3,(MONTH(BPI[[#This Row],[au]])-MONTH(BPI[[#This Row],[du]])+1)*100,"")</f>
        <v/>
      </c>
      <c r="H42" s="72" t="str">
        <f>IF(COUNTA(BPI[[#This Row],[Initiales du nom de l''enfant]:[au]])=0,"",IF(COUNTA(BPI[[#This Row],[Initiales du nom de l''enfant]:[au]])=3,"","&lt;-- Veuillez compléter tous les champs"))</f>
        <v/>
      </c>
    </row>
    <row r="43" spans="2:8" x14ac:dyDescent="0.25">
      <c r="B43" s="7">
        <v>29</v>
      </c>
      <c r="C43" s="8"/>
      <c r="D43" s="29"/>
      <c r="E43" s="29"/>
      <c r="F43" s="185" t="str">
        <f>IF(COUNTA(BPI[[#This Row],[Initiales du nom de l''enfant]:[au]])=3,(MONTH(BPI[[#This Row],[au]])-MONTH(BPI[[#This Row],[du]])+1)*100,"")</f>
        <v/>
      </c>
      <c r="H43" s="72" t="str">
        <f>IF(COUNTA(BPI[[#This Row],[Initiales du nom de l''enfant]:[au]])=0,"",IF(COUNTA(BPI[[#This Row],[Initiales du nom de l''enfant]:[au]])=3,"","&lt;-- Veuillez compléter tous les champs"))</f>
        <v/>
      </c>
    </row>
    <row r="44" spans="2:8" x14ac:dyDescent="0.25">
      <c r="B44" s="7">
        <v>30</v>
      </c>
      <c r="C44" s="8"/>
      <c r="D44" s="29"/>
      <c r="E44" s="29"/>
      <c r="F44" s="185" t="str">
        <f>IF(COUNTA(BPI[[#This Row],[Initiales du nom de l''enfant]:[au]])=3,(MONTH(BPI[[#This Row],[au]])-MONTH(BPI[[#This Row],[du]])+1)*100,"")</f>
        <v/>
      </c>
      <c r="H44" s="72" t="str">
        <f>IF(COUNTA(BPI[[#This Row],[Initiales du nom de l''enfant]:[au]])=0,"",IF(COUNTA(BPI[[#This Row],[Initiales du nom de l''enfant]:[au]])=3,"","&lt;-- Veuillez compléter tous les champs"))</f>
        <v/>
      </c>
    </row>
    <row r="45" spans="2:8" x14ac:dyDescent="0.25">
      <c r="B45" s="7">
        <v>31</v>
      </c>
      <c r="C45" s="8"/>
      <c r="D45" s="29"/>
      <c r="E45" s="29"/>
      <c r="F45" s="185" t="str">
        <f>IF(COUNTA(BPI[[#This Row],[Initiales du nom de l''enfant]:[au]])=3,(MONTH(BPI[[#This Row],[au]])-MONTH(BPI[[#This Row],[du]])+1)*100,"")</f>
        <v/>
      </c>
      <c r="H45" s="72" t="str">
        <f>IF(COUNTA(BPI[[#This Row],[Initiales du nom de l''enfant]:[au]])=0,"",IF(COUNTA(BPI[[#This Row],[Initiales du nom de l''enfant]:[au]])=3,"","&lt;-- Veuillez compléter tous les champs"))</f>
        <v/>
      </c>
    </row>
    <row r="46" spans="2:8" x14ac:dyDescent="0.25">
      <c r="B46" s="7">
        <v>32</v>
      </c>
      <c r="C46" s="8"/>
      <c r="D46" s="29"/>
      <c r="E46" s="29"/>
      <c r="F46" s="185" t="str">
        <f>IF(COUNTA(BPI[[#This Row],[Initiales du nom de l''enfant]:[au]])=3,(MONTH(BPI[[#This Row],[au]])-MONTH(BPI[[#This Row],[du]])+1)*100,"")</f>
        <v/>
      </c>
      <c r="H46" s="72" t="str">
        <f>IF(COUNTA(BPI[[#This Row],[Initiales du nom de l''enfant]:[au]])=0,"",IF(COUNTA(BPI[[#This Row],[Initiales du nom de l''enfant]:[au]])=3,"","&lt;-- Veuillez compléter tous les champs"))</f>
        <v/>
      </c>
    </row>
    <row r="47" spans="2:8" x14ac:dyDescent="0.25">
      <c r="B47" s="7">
        <v>33</v>
      </c>
      <c r="C47" s="8"/>
      <c r="D47" s="29"/>
      <c r="E47" s="29"/>
      <c r="F47" s="185" t="str">
        <f>IF(COUNTA(BPI[[#This Row],[Initiales du nom de l''enfant]:[au]])=3,(MONTH(BPI[[#This Row],[au]])-MONTH(BPI[[#This Row],[du]])+1)*100,"")</f>
        <v/>
      </c>
      <c r="H47" s="72" t="str">
        <f>IF(COUNTA(BPI[[#This Row],[Initiales du nom de l''enfant]:[au]])=0,"",IF(COUNTA(BPI[[#This Row],[Initiales du nom de l''enfant]:[au]])=3,"","&lt;-- Veuillez compléter tous les champs"))</f>
        <v/>
      </c>
    </row>
    <row r="48" spans="2:8" x14ac:dyDescent="0.25">
      <c r="B48" s="7">
        <v>34</v>
      </c>
      <c r="C48" s="8"/>
      <c r="D48" s="29"/>
      <c r="E48" s="29"/>
      <c r="F48" s="185" t="str">
        <f>IF(COUNTA(BPI[[#This Row],[Initiales du nom de l''enfant]:[au]])=3,(MONTH(BPI[[#This Row],[au]])-MONTH(BPI[[#This Row],[du]])+1)*100,"")</f>
        <v/>
      </c>
      <c r="H48" s="72" t="str">
        <f>IF(COUNTA(BPI[[#This Row],[Initiales du nom de l''enfant]:[au]])=0,"",IF(COUNTA(BPI[[#This Row],[Initiales du nom de l''enfant]:[au]])=3,"","&lt;-- Veuillez compléter tous les champs"))</f>
        <v/>
      </c>
    </row>
    <row r="49" spans="2:8" x14ac:dyDescent="0.25">
      <c r="B49" s="7">
        <v>35</v>
      </c>
      <c r="C49" s="8"/>
      <c r="D49" s="29"/>
      <c r="E49" s="29"/>
      <c r="F49" s="185" t="str">
        <f>IF(COUNTA(BPI[[#This Row],[Initiales du nom de l''enfant]:[au]])=3,(MONTH(BPI[[#This Row],[au]])-MONTH(BPI[[#This Row],[du]])+1)*100,"")</f>
        <v/>
      </c>
      <c r="H49" s="72" t="str">
        <f>IF(COUNTA(BPI[[#This Row],[Initiales du nom de l''enfant]:[au]])=0,"",IF(COUNTA(BPI[[#This Row],[Initiales du nom de l''enfant]:[au]])=3,"","&lt;-- Veuillez compléter tous les champs"))</f>
        <v/>
      </c>
    </row>
    <row r="50" spans="2:8" x14ac:dyDescent="0.25">
      <c r="B50" s="7">
        <v>36</v>
      </c>
      <c r="C50" s="8"/>
      <c r="D50" s="29"/>
      <c r="E50" s="29"/>
      <c r="F50" s="185" t="str">
        <f>IF(COUNTA(BPI[[#This Row],[Initiales du nom de l''enfant]:[au]])=3,(MONTH(BPI[[#This Row],[au]])-MONTH(BPI[[#This Row],[du]])+1)*100,"")</f>
        <v/>
      </c>
      <c r="H50" s="72" t="str">
        <f>IF(COUNTA(BPI[[#This Row],[Initiales du nom de l''enfant]:[au]])=0,"",IF(COUNTA(BPI[[#This Row],[Initiales du nom de l''enfant]:[au]])=3,"","&lt;-- Veuillez compléter tous les champs"))</f>
        <v/>
      </c>
    </row>
    <row r="51" spans="2:8" x14ac:dyDescent="0.25">
      <c r="B51" s="7">
        <v>37</v>
      </c>
      <c r="C51" s="8"/>
      <c r="D51" s="29"/>
      <c r="E51" s="29"/>
      <c r="F51" s="185" t="str">
        <f>IF(COUNTA(BPI[[#This Row],[Initiales du nom de l''enfant]:[au]])=3,(MONTH(BPI[[#This Row],[au]])-MONTH(BPI[[#This Row],[du]])+1)*100,"")</f>
        <v/>
      </c>
      <c r="H51" s="72" t="str">
        <f>IF(COUNTA(BPI[[#This Row],[Initiales du nom de l''enfant]:[au]])=0,"",IF(COUNTA(BPI[[#This Row],[Initiales du nom de l''enfant]:[au]])=3,"","&lt;-- Veuillez compléter tous les champs"))</f>
        <v/>
      </c>
    </row>
    <row r="52" spans="2:8" x14ac:dyDescent="0.25">
      <c r="B52" s="7">
        <v>38</v>
      </c>
      <c r="C52" s="8"/>
      <c r="D52" s="29"/>
      <c r="E52" s="29"/>
      <c r="F52" s="185" t="str">
        <f>IF(COUNTA(BPI[[#This Row],[Initiales du nom de l''enfant]:[au]])=3,(MONTH(BPI[[#This Row],[au]])-MONTH(BPI[[#This Row],[du]])+1)*100,"")</f>
        <v/>
      </c>
      <c r="H52" s="72" t="str">
        <f>IF(COUNTA(BPI[[#This Row],[Initiales du nom de l''enfant]:[au]])=0,"",IF(COUNTA(BPI[[#This Row],[Initiales du nom de l''enfant]:[au]])=3,"","&lt;-- Veuillez compléter tous les champs"))</f>
        <v/>
      </c>
    </row>
    <row r="53" spans="2:8" x14ac:dyDescent="0.25">
      <c r="B53" s="7">
        <v>39</v>
      </c>
      <c r="C53" s="8"/>
      <c r="D53" s="29"/>
      <c r="E53" s="29"/>
      <c r="F53" s="185" t="str">
        <f>IF(COUNTA(BPI[[#This Row],[Initiales du nom de l''enfant]:[au]])=3,(MONTH(BPI[[#This Row],[au]])-MONTH(BPI[[#This Row],[du]])+1)*100,"")</f>
        <v/>
      </c>
      <c r="H53" s="72" t="str">
        <f>IF(COUNTA(BPI[[#This Row],[Initiales du nom de l''enfant]:[au]])=0,"",IF(COUNTA(BPI[[#This Row],[Initiales du nom de l''enfant]:[au]])=3,"","&lt;-- Veuillez compléter tous les champs"))</f>
        <v/>
      </c>
    </row>
    <row r="54" spans="2:8" x14ac:dyDescent="0.25">
      <c r="B54" s="7">
        <v>40</v>
      </c>
      <c r="C54" s="8"/>
      <c r="D54" s="29"/>
      <c r="E54" s="29"/>
      <c r="F54" s="185" t="str">
        <f>IF(COUNTA(BPI[[#This Row],[Initiales du nom de l''enfant]:[au]])=3,(MONTH(BPI[[#This Row],[au]])-MONTH(BPI[[#This Row],[du]])+1)*100,"")</f>
        <v/>
      </c>
      <c r="H54" s="72" t="str">
        <f>IF(COUNTA(BPI[[#This Row],[Initiales du nom de l''enfant]:[au]])=0,"",IF(COUNTA(BPI[[#This Row],[Initiales du nom de l''enfant]:[au]])=3,"","&lt;-- Veuillez compléter tous les champs"))</f>
        <v/>
      </c>
    </row>
    <row r="55" spans="2:8" x14ac:dyDescent="0.25">
      <c r="B55" s="7">
        <v>41</v>
      </c>
      <c r="C55" s="8"/>
      <c r="D55" s="29"/>
      <c r="E55" s="29"/>
      <c r="F55" s="185" t="str">
        <f>IF(COUNTA(BPI[[#This Row],[Initiales du nom de l''enfant]:[au]])=3,(MONTH(BPI[[#This Row],[au]])-MONTH(BPI[[#This Row],[du]])+1)*100,"")</f>
        <v/>
      </c>
      <c r="H55" s="72" t="str">
        <f>IF(COUNTA(BPI[[#This Row],[Initiales du nom de l''enfant]:[au]])=0,"",IF(COUNTA(BPI[[#This Row],[Initiales du nom de l''enfant]:[au]])=3,"","&lt;-- Veuillez compléter tous les champs"))</f>
        <v/>
      </c>
    </row>
    <row r="56" spans="2:8" x14ac:dyDescent="0.25">
      <c r="B56" s="7">
        <v>42</v>
      </c>
      <c r="C56" s="8"/>
      <c r="D56" s="29"/>
      <c r="E56" s="29"/>
      <c r="F56" s="185" t="str">
        <f>IF(COUNTA(BPI[[#This Row],[Initiales du nom de l''enfant]:[au]])=3,(MONTH(BPI[[#This Row],[au]])-MONTH(BPI[[#This Row],[du]])+1)*100,"")</f>
        <v/>
      </c>
      <c r="H56" s="72" t="str">
        <f>IF(COUNTA(BPI[[#This Row],[Initiales du nom de l''enfant]:[au]])=0,"",IF(COUNTA(BPI[[#This Row],[Initiales du nom de l''enfant]:[au]])=3,"","&lt;-- Veuillez compléter tous les champs"))</f>
        <v/>
      </c>
    </row>
    <row r="57" spans="2:8" x14ac:dyDescent="0.25">
      <c r="B57" s="7">
        <v>43</v>
      </c>
      <c r="C57" s="8"/>
      <c r="D57" s="29"/>
      <c r="E57" s="29"/>
      <c r="F57" s="185" t="str">
        <f>IF(COUNTA(BPI[[#This Row],[Initiales du nom de l''enfant]:[au]])=3,(MONTH(BPI[[#This Row],[au]])-MONTH(BPI[[#This Row],[du]])+1)*100,"")</f>
        <v/>
      </c>
      <c r="H57" s="72" t="str">
        <f>IF(COUNTA(BPI[[#This Row],[Initiales du nom de l''enfant]:[au]])=0,"",IF(COUNTA(BPI[[#This Row],[Initiales du nom de l''enfant]:[au]])=3,"","&lt;-- Veuillez compléter tous les champs"))</f>
        <v/>
      </c>
    </row>
    <row r="58" spans="2:8" x14ac:dyDescent="0.25">
      <c r="B58" s="7">
        <v>44</v>
      </c>
      <c r="C58" s="8"/>
      <c r="D58" s="29"/>
      <c r="E58" s="29"/>
      <c r="F58" s="185" t="str">
        <f>IF(COUNTA(BPI[[#This Row],[Initiales du nom de l''enfant]:[au]])=3,(MONTH(BPI[[#This Row],[au]])-MONTH(BPI[[#This Row],[du]])+1)*100,"")</f>
        <v/>
      </c>
      <c r="H58" s="72" t="str">
        <f>IF(COUNTA(BPI[[#This Row],[Initiales du nom de l''enfant]:[au]])=0,"",IF(COUNTA(BPI[[#This Row],[Initiales du nom de l''enfant]:[au]])=3,"","&lt;-- Veuillez compléter tous les champs"))</f>
        <v/>
      </c>
    </row>
    <row r="59" spans="2:8" x14ac:dyDescent="0.25">
      <c r="B59" s="7">
        <v>45</v>
      </c>
      <c r="C59" s="8"/>
      <c r="D59" s="29"/>
      <c r="E59" s="29"/>
      <c r="F59" s="185" t="str">
        <f>IF(COUNTA(BPI[[#This Row],[Initiales du nom de l''enfant]:[au]])=3,(MONTH(BPI[[#This Row],[au]])-MONTH(BPI[[#This Row],[du]])+1)*100,"")</f>
        <v/>
      </c>
      <c r="H59" s="72" t="str">
        <f>IF(COUNTA(BPI[[#This Row],[Initiales du nom de l''enfant]:[au]])=0,"",IF(COUNTA(BPI[[#This Row],[Initiales du nom de l''enfant]:[au]])=3,"","&lt;-- Veuillez compléter tous les champs"))</f>
        <v/>
      </c>
    </row>
    <row r="60" spans="2:8" x14ac:dyDescent="0.25">
      <c r="B60" s="7">
        <v>46</v>
      </c>
      <c r="C60" s="8"/>
      <c r="D60" s="29"/>
      <c r="E60" s="29"/>
      <c r="F60" s="185" t="str">
        <f>IF(COUNTA(BPI[[#This Row],[Initiales du nom de l''enfant]:[au]])=3,(MONTH(BPI[[#This Row],[au]])-MONTH(BPI[[#This Row],[du]])+1)*100,"")</f>
        <v/>
      </c>
      <c r="H60" s="72" t="str">
        <f>IF(COUNTA(BPI[[#This Row],[Initiales du nom de l''enfant]:[au]])=0,"",IF(COUNTA(BPI[[#This Row],[Initiales du nom de l''enfant]:[au]])=3,"","&lt;-- Veuillez compléter tous les champs"))</f>
        <v/>
      </c>
    </row>
    <row r="61" spans="2:8" x14ac:dyDescent="0.25">
      <c r="B61" s="7">
        <v>47</v>
      </c>
      <c r="C61" s="8"/>
      <c r="D61" s="29"/>
      <c r="E61" s="29"/>
      <c r="F61" s="185" t="str">
        <f>IF(COUNTA(BPI[[#This Row],[Initiales du nom de l''enfant]:[au]])=3,(MONTH(BPI[[#This Row],[au]])-MONTH(BPI[[#This Row],[du]])+1)*100,"")</f>
        <v/>
      </c>
      <c r="H61" s="72" t="str">
        <f>IF(COUNTA(BPI[[#This Row],[Initiales du nom de l''enfant]:[au]])=0,"",IF(COUNTA(BPI[[#This Row],[Initiales du nom de l''enfant]:[au]])=3,"","&lt;-- Veuillez compléter tous les champs"))</f>
        <v/>
      </c>
    </row>
    <row r="62" spans="2:8" x14ac:dyDescent="0.25">
      <c r="B62" s="7">
        <v>48</v>
      </c>
      <c r="C62" s="8"/>
      <c r="D62" s="29"/>
      <c r="E62" s="29"/>
      <c r="F62" s="185" t="str">
        <f>IF(COUNTA(BPI[[#This Row],[Initiales du nom de l''enfant]:[au]])=3,(MONTH(BPI[[#This Row],[au]])-MONTH(BPI[[#This Row],[du]])+1)*100,"")</f>
        <v/>
      </c>
      <c r="H62" s="72" t="str">
        <f>IF(COUNTA(BPI[[#This Row],[Initiales du nom de l''enfant]:[au]])=0,"",IF(COUNTA(BPI[[#This Row],[Initiales du nom de l''enfant]:[au]])=3,"","&lt;-- Veuillez compléter tous les champs"))</f>
        <v/>
      </c>
    </row>
    <row r="63" spans="2:8" x14ac:dyDescent="0.25">
      <c r="B63" s="7">
        <v>49</v>
      </c>
      <c r="C63" s="8"/>
      <c r="D63" s="29"/>
      <c r="E63" s="29"/>
      <c r="F63" s="185" t="str">
        <f>IF(COUNTA(BPI[[#This Row],[Initiales du nom de l''enfant]:[au]])=3,(MONTH(BPI[[#This Row],[au]])-MONTH(BPI[[#This Row],[du]])+1)*100,"")</f>
        <v/>
      </c>
      <c r="H63" s="72" t="str">
        <f>IF(COUNTA(BPI[[#This Row],[Initiales du nom de l''enfant]:[au]])=0,"",IF(COUNTA(BPI[[#This Row],[Initiales du nom de l''enfant]:[au]])=3,"","&lt;-- Veuillez compléter tous les champs"))</f>
        <v/>
      </c>
    </row>
    <row r="64" spans="2:8" x14ac:dyDescent="0.25">
      <c r="B64" s="7">
        <v>50</v>
      </c>
      <c r="C64" s="8"/>
      <c r="D64" s="29"/>
      <c r="E64" s="29"/>
      <c r="F64" s="185" t="str">
        <f>IF(COUNTA(BPI[[#This Row],[Initiales du nom de l''enfant]:[au]])=3,(MONTH(BPI[[#This Row],[au]])-MONTH(BPI[[#This Row],[du]])+1)*100,"")</f>
        <v/>
      </c>
      <c r="H64" s="72" t="str">
        <f>IF(COUNTA(BPI[[#This Row],[Initiales du nom de l''enfant]:[au]])=0,"",IF(COUNTA(BPI[[#This Row],[Initiales du nom de l''enfant]:[au]])=3,"","&lt;-- Veuillez compléter tous les champs"))</f>
        <v/>
      </c>
    </row>
    <row r="65" spans="2:6" x14ac:dyDescent="0.25">
      <c r="B65" s="7" t="s">
        <v>31</v>
      </c>
      <c r="C65" s="7">
        <f>SUBTOTAL(103,BPI[Initiales du nom de l''enfant])</f>
        <v>0</v>
      </c>
      <c r="D65" s="28"/>
      <c r="E65" s="28"/>
      <c r="F65" s="26">
        <f>SUBTOTAL(109,BPI[Aide étatique])</f>
        <v>0</v>
      </c>
    </row>
  </sheetData>
  <sheetProtection algorithmName="SHA-512" hashValue="pXFMiDN7bA7MkK7jjNjoxVhI5ue83Ea2iA6bg96IudSqpW8ziiqLOlLqGwFUS3R5E9zgAAwCcFi7RP7ji9lWLQ==" saltValue="9PRXlBvcn+gTRkQlXwJ5rw==" spinCount="100000" sheet="1" selectLockedCells="1" autoFilter="0"/>
  <pageMargins left="0.70866141732283472" right="0.70866141732283472" top="0.74803149606299213" bottom="0.74803149606299213" header="0.31496062992125984" footer="0.31496062992125984"/>
  <pageSetup paperSize="9" scale="77" fitToHeight="0" orientation="portrait" r:id="rId1"/>
  <headerFooter>
    <oddHeader>&amp;C&amp;A</oddHeader>
    <oddFooter>&amp;R&amp;P/&amp;N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date" allowBlank="1" showInputMessage="1" showErrorMessage="1" xr:uid="{00000000-0002-0000-0300-000000000000}">
          <x14:formula1>
            <xm:f>DATE('Informations générales 1'!C10,1,1)</xm:f>
          </x14:formula1>
          <x14:formula2>
            <xm:f>DATE('Informations générales 1'!C10,12,31)</xm:f>
          </x14:formula2>
          <xm:sqref>D15:E64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B1:K109"/>
  <sheetViews>
    <sheetView workbookViewId="0">
      <selection activeCell="C9" sqref="C9"/>
    </sheetView>
  </sheetViews>
  <sheetFormatPr defaultColWidth="9.140625" defaultRowHeight="15" x14ac:dyDescent="0.25"/>
  <cols>
    <col min="1" max="2" width="9.140625" style="2"/>
    <col min="3" max="3" width="21" style="2" customWidth="1"/>
    <col min="4" max="4" width="21.42578125" style="2" customWidth="1"/>
    <col min="5" max="5" width="13" style="2" customWidth="1"/>
    <col min="6" max="6" width="19.85546875" style="2" customWidth="1"/>
    <col min="7" max="7" width="18.7109375" style="2" bestFit="1" customWidth="1"/>
    <col min="8" max="16384" width="9.140625" style="2"/>
  </cols>
  <sheetData>
    <row r="1" spans="2:9" x14ac:dyDescent="0.25">
      <c r="B1" s="11" t="str">
        <f>'Informations générales 1'!B7</f>
        <v>DECOMPTE ANNUEL</v>
      </c>
    </row>
    <row r="2" spans="2:9" x14ac:dyDescent="0.25">
      <c r="B2" s="11" t="str">
        <f>'Informations générales 1'!C20&amp;" - "&amp;'Informations générales 1'!C24</f>
        <v>Nom Gestionnaire - Nom SEA</v>
      </c>
    </row>
    <row r="3" spans="2:9" x14ac:dyDescent="0.25">
      <c r="B3" s="19">
        <f>'Informations générales 1'!C10</f>
        <v>2024</v>
      </c>
    </row>
    <row r="5" spans="2:9" x14ac:dyDescent="0.25">
      <c r="B5" s="11" t="s">
        <v>606</v>
      </c>
    </row>
    <row r="6" spans="2:9" x14ac:dyDescent="0.25">
      <c r="B6" s="11"/>
    </row>
    <row r="7" spans="2:9" x14ac:dyDescent="0.25">
      <c r="E7" s="71" t="s">
        <v>313</v>
      </c>
      <c r="F7" s="41">
        <f>EBS[[#Totals],[hrs/sem 
accordées]]</f>
        <v>0</v>
      </c>
      <c r="G7" s="41">
        <f>EBS[[#Totals],[heures annuelles]]</f>
        <v>0</v>
      </c>
    </row>
    <row r="8" spans="2:9" ht="30" x14ac:dyDescent="0.25">
      <c r="B8" s="35" t="s">
        <v>19</v>
      </c>
      <c r="C8" s="35" t="s">
        <v>86</v>
      </c>
      <c r="D8" s="35" t="s">
        <v>83</v>
      </c>
      <c r="E8" s="35" t="s">
        <v>84</v>
      </c>
      <c r="F8" s="6" t="s">
        <v>87</v>
      </c>
      <c r="G8" s="35" t="s">
        <v>67</v>
      </c>
    </row>
    <row r="9" spans="2:9" x14ac:dyDescent="0.25">
      <c r="B9" s="7">
        <v>1</v>
      </c>
      <c r="C9" s="8"/>
      <c r="D9" s="10"/>
      <c r="E9" s="10"/>
      <c r="F9" s="461"/>
      <c r="G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 s="72" t="str">
        <f>IF(COUNTA(EBS[[#This Row],[Initiales]:[hrs/sem 
accordées]])=0,"",IF(COUNTA(EBS[[#This Row],[Initiales]:[hrs/sem 
accordées]])=4,"","&lt;-- Veuillez compléter tous les champs"))</f>
        <v/>
      </c>
    </row>
    <row r="10" spans="2:9" x14ac:dyDescent="0.25">
      <c r="B10" s="7">
        <v>2</v>
      </c>
      <c r="C10" s="8"/>
      <c r="D10" s="10"/>
      <c r="E10" s="10"/>
      <c r="F10" s="461"/>
      <c r="G1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 s="72" t="str">
        <f>IF(COUNTA(EBS[[#This Row],[Initiales]:[hrs/sem 
accordées]])=0,"",IF(COUNTA(EBS[[#This Row],[Initiales]:[hrs/sem 
accordées]])=4,"","&lt;-- Veuillez compléter tous les champs"))</f>
        <v/>
      </c>
    </row>
    <row r="11" spans="2:9" x14ac:dyDescent="0.25">
      <c r="B11" s="7">
        <v>3</v>
      </c>
      <c r="C11" s="8"/>
      <c r="D11" s="10"/>
      <c r="E11" s="10"/>
      <c r="F11" s="461"/>
      <c r="G1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1" s="72" t="str">
        <f>IF(COUNTA(EBS[[#This Row],[Initiales]:[hrs/sem 
accordées]])=0,"",IF(COUNTA(EBS[[#This Row],[Initiales]:[hrs/sem 
accordées]])=4,"","&lt;-- Veuillez compléter tous les champs"))</f>
        <v/>
      </c>
    </row>
    <row r="12" spans="2:9" x14ac:dyDescent="0.25">
      <c r="B12" s="7">
        <v>4</v>
      </c>
      <c r="C12" s="8"/>
      <c r="D12" s="664"/>
      <c r="E12" s="664"/>
      <c r="F12" s="461"/>
      <c r="G1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2" s="72" t="str">
        <f>IF(COUNTA(EBS[[#This Row],[Initiales]:[hrs/sem 
accordées]])=0,"",IF(COUNTA(EBS[[#This Row],[Initiales]:[hrs/sem 
accordées]])=4,"","&lt;-- Veuillez compléter tous les champs"))</f>
        <v/>
      </c>
    </row>
    <row r="13" spans="2:9" x14ac:dyDescent="0.25">
      <c r="B13" s="7">
        <v>5</v>
      </c>
      <c r="C13" s="8"/>
      <c r="D13" s="10"/>
      <c r="E13" s="10"/>
      <c r="F13" s="461"/>
      <c r="G1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3" s="72" t="str">
        <f>IF(COUNTA(EBS[[#This Row],[Initiales]:[hrs/sem 
accordées]])=0,"",IF(COUNTA(EBS[[#This Row],[Initiales]:[hrs/sem 
accordées]])=4,"","&lt;-- Veuillez compléter tous les champs"))</f>
        <v/>
      </c>
    </row>
    <row r="14" spans="2:9" x14ac:dyDescent="0.25">
      <c r="B14" s="7">
        <v>6</v>
      </c>
      <c r="C14" s="8"/>
      <c r="D14" s="10"/>
      <c r="E14" s="10"/>
      <c r="F14" s="461"/>
      <c r="G1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4" s="72" t="str">
        <f>IF(COUNTA(EBS[[#This Row],[Initiales]:[hrs/sem 
accordées]])=0,"",IF(COUNTA(EBS[[#This Row],[Initiales]:[hrs/sem 
accordées]])=4,"","&lt;-- Veuillez compléter tous les champs"))</f>
        <v/>
      </c>
    </row>
    <row r="15" spans="2:9" x14ac:dyDescent="0.25">
      <c r="B15" s="7">
        <v>7</v>
      </c>
      <c r="C15" s="8"/>
      <c r="D15" s="10"/>
      <c r="E15" s="10"/>
      <c r="F15" s="461"/>
      <c r="G1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5" s="72" t="str">
        <f>IF(COUNTA(EBS[[#This Row],[Initiales]:[hrs/sem 
accordées]])=0,"",IF(COUNTA(EBS[[#This Row],[Initiales]:[hrs/sem 
accordées]])=4,"","&lt;-- Veuillez compléter tous les champs"))</f>
        <v/>
      </c>
    </row>
    <row r="16" spans="2:9" x14ac:dyDescent="0.25">
      <c r="B16" s="7">
        <v>8</v>
      </c>
      <c r="C16" s="8"/>
      <c r="D16" s="10"/>
      <c r="E16" s="10"/>
      <c r="F16" s="461"/>
      <c r="G1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6" s="72" t="str">
        <f>IF(COUNTA(EBS[[#This Row],[Initiales]:[hrs/sem 
accordées]])=0,"",IF(COUNTA(EBS[[#This Row],[Initiales]:[hrs/sem 
accordées]])=4,"","&lt;-- Veuillez compléter tous les champs"))</f>
        <v/>
      </c>
    </row>
    <row r="17" spans="2:11" x14ac:dyDescent="0.25">
      <c r="B17" s="7">
        <v>9</v>
      </c>
      <c r="C17" s="8"/>
      <c r="D17" s="10"/>
      <c r="E17" s="10"/>
      <c r="F17" s="461"/>
      <c r="G1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7" s="72" t="str">
        <f>IF(COUNTA(EBS[[#This Row],[Initiales]:[hrs/sem 
accordées]])=0,"",IF(COUNTA(EBS[[#This Row],[Initiales]:[hrs/sem 
accordées]])=4,"","&lt;-- Veuillez compléter tous les champs"))</f>
        <v/>
      </c>
      <c r="K17" s="457"/>
    </row>
    <row r="18" spans="2:11" x14ac:dyDescent="0.25">
      <c r="B18" s="7">
        <v>10</v>
      </c>
      <c r="C18" s="8"/>
      <c r="D18" s="10"/>
      <c r="E18" s="10"/>
      <c r="F18" s="461"/>
      <c r="G1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8" s="72" t="str">
        <f>IF(COUNTA(EBS[[#This Row],[Initiales]:[hrs/sem 
accordées]])=0,"",IF(COUNTA(EBS[[#This Row],[Initiales]:[hrs/sem 
accordées]])=4,"","&lt;-- Veuillez compléter tous les champs"))</f>
        <v/>
      </c>
    </row>
    <row r="19" spans="2:11" x14ac:dyDescent="0.25">
      <c r="B19" s="7">
        <v>11</v>
      </c>
      <c r="C19" s="8"/>
      <c r="D19" s="10"/>
      <c r="E19" s="10"/>
      <c r="F19" s="461"/>
      <c r="G1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9" s="72" t="str">
        <f>IF(COUNTA(EBS[[#This Row],[Initiales]:[hrs/sem 
accordées]])=0,"",IF(COUNTA(EBS[[#This Row],[Initiales]:[hrs/sem 
accordées]])=4,"","&lt;-- Veuillez compléter tous les champs"))</f>
        <v/>
      </c>
    </row>
    <row r="20" spans="2:11" x14ac:dyDescent="0.25">
      <c r="B20" s="7">
        <v>12</v>
      </c>
      <c r="C20" s="8"/>
      <c r="D20" s="10"/>
      <c r="E20" s="10"/>
      <c r="F20" s="461"/>
      <c r="G2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0" s="72" t="str">
        <f>IF(COUNTA(EBS[[#This Row],[Initiales]:[hrs/sem 
accordées]])=0,"",IF(COUNTA(EBS[[#This Row],[Initiales]:[hrs/sem 
accordées]])=4,"","&lt;-- Veuillez compléter tous les champs"))</f>
        <v/>
      </c>
    </row>
    <row r="21" spans="2:11" x14ac:dyDescent="0.25">
      <c r="B21" s="7">
        <v>13</v>
      </c>
      <c r="C21" s="8"/>
      <c r="D21" s="10"/>
      <c r="E21" s="10"/>
      <c r="F21" s="461"/>
      <c r="G2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1" s="72" t="str">
        <f>IF(COUNTA(EBS[[#This Row],[Initiales]:[hrs/sem 
accordées]])=0,"",IF(COUNTA(EBS[[#This Row],[Initiales]:[hrs/sem 
accordées]])=4,"","&lt;-- Veuillez compléter tous les champs"))</f>
        <v/>
      </c>
    </row>
    <row r="22" spans="2:11" x14ac:dyDescent="0.25">
      <c r="B22" s="7">
        <v>14</v>
      </c>
      <c r="C22" s="8"/>
      <c r="D22" s="10"/>
      <c r="E22" s="10"/>
      <c r="F22" s="461"/>
      <c r="G2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2" s="72" t="str">
        <f>IF(COUNTA(EBS[[#This Row],[Initiales]:[hrs/sem 
accordées]])=0,"",IF(COUNTA(EBS[[#This Row],[Initiales]:[hrs/sem 
accordées]])=4,"","&lt;-- Veuillez compléter tous les champs"))</f>
        <v/>
      </c>
    </row>
    <row r="23" spans="2:11" x14ac:dyDescent="0.25">
      <c r="B23" s="7">
        <v>15</v>
      </c>
      <c r="C23" s="8"/>
      <c r="D23" s="10"/>
      <c r="E23" s="10"/>
      <c r="F23" s="461"/>
      <c r="G2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3" s="72" t="str">
        <f>IF(COUNTA(EBS[[#This Row],[Initiales]:[hrs/sem 
accordées]])=0,"",IF(COUNTA(EBS[[#This Row],[Initiales]:[hrs/sem 
accordées]])=4,"","&lt;-- Veuillez compléter tous les champs"))</f>
        <v/>
      </c>
    </row>
    <row r="24" spans="2:11" x14ac:dyDescent="0.25">
      <c r="B24" s="7">
        <v>16</v>
      </c>
      <c r="C24" s="8"/>
      <c r="D24" s="10"/>
      <c r="E24" s="10"/>
      <c r="F24" s="461"/>
      <c r="G2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4" s="72" t="str">
        <f>IF(COUNTA(EBS[[#This Row],[Initiales]:[hrs/sem 
accordées]])=0,"",IF(COUNTA(EBS[[#This Row],[Initiales]:[hrs/sem 
accordées]])=4,"","&lt;-- Veuillez compléter tous les champs"))</f>
        <v/>
      </c>
    </row>
    <row r="25" spans="2:11" x14ac:dyDescent="0.25">
      <c r="B25" s="7">
        <v>17</v>
      </c>
      <c r="C25" s="8"/>
      <c r="D25" s="10"/>
      <c r="E25" s="10"/>
      <c r="F25" s="461"/>
      <c r="G2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5" s="72" t="str">
        <f>IF(COUNTA(EBS[[#This Row],[Initiales]:[hrs/sem 
accordées]])=0,"",IF(COUNTA(EBS[[#This Row],[Initiales]:[hrs/sem 
accordées]])=4,"","&lt;-- Veuillez compléter tous les champs"))</f>
        <v/>
      </c>
    </row>
    <row r="26" spans="2:11" x14ac:dyDescent="0.25">
      <c r="B26" s="7">
        <v>18</v>
      </c>
      <c r="C26" s="8"/>
      <c r="D26" s="10"/>
      <c r="E26" s="10"/>
      <c r="F26" s="461"/>
      <c r="G2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6" s="72" t="str">
        <f>IF(COUNTA(EBS[[#This Row],[Initiales]:[hrs/sem 
accordées]])=0,"",IF(COUNTA(EBS[[#This Row],[Initiales]:[hrs/sem 
accordées]])=4,"","&lt;-- Veuillez compléter tous les champs"))</f>
        <v/>
      </c>
    </row>
    <row r="27" spans="2:11" x14ac:dyDescent="0.25">
      <c r="B27" s="7">
        <v>19</v>
      </c>
      <c r="C27" s="8"/>
      <c r="D27" s="10"/>
      <c r="E27" s="10"/>
      <c r="F27" s="461"/>
      <c r="G2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7" s="72" t="str">
        <f>IF(COUNTA(EBS[[#This Row],[Initiales]:[hrs/sem 
accordées]])=0,"",IF(COUNTA(EBS[[#This Row],[Initiales]:[hrs/sem 
accordées]])=4,"","&lt;-- Veuillez compléter tous les champs"))</f>
        <v/>
      </c>
    </row>
    <row r="28" spans="2:11" x14ac:dyDescent="0.25">
      <c r="B28" s="7">
        <v>20</v>
      </c>
      <c r="C28" s="8"/>
      <c r="D28" s="10"/>
      <c r="E28" s="10"/>
      <c r="F28" s="461"/>
      <c r="G2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8" s="72" t="str">
        <f>IF(COUNTA(EBS[[#This Row],[Initiales]:[hrs/sem 
accordées]])=0,"",IF(COUNTA(EBS[[#This Row],[Initiales]:[hrs/sem 
accordées]])=4,"","&lt;-- Veuillez compléter tous les champs"))</f>
        <v/>
      </c>
    </row>
    <row r="29" spans="2:11" x14ac:dyDescent="0.25">
      <c r="B29" s="7">
        <v>21</v>
      </c>
      <c r="C29" s="8"/>
      <c r="D29" s="10"/>
      <c r="E29" s="10"/>
      <c r="F29" s="461"/>
      <c r="G2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29" s="72" t="str">
        <f>IF(COUNTA(EBS[[#This Row],[Initiales]:[hrs/sem 
accordées]])=0,"",IF(COUNTA(EBS[[#This Row],[Initiales]:[hrs/sem 
accordées]])=4,"","&lt;-- Veuillez compléter tous les champs"))</f>
        <v/>
      </c>
    </row>
    <row r="30" spans="2:11" x14ac:dyDescent="0.25">
      <c r="B30" s="7">
        <v>22</v>
      </c>
      <c r="C30" s="8"/>
      <c r="D30" s="10"/>
      <c r="E30" s="10"/>
      <c r="F30" s="461"/>
      <c r="G3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0" s="72" t="str">
        <f>IF(COUNTA(EBS[[#This Row],[Initiales]:[hrs/sem 
accordées]])=0,"",IF(COUNTA(EBS[[#This Row],[Initiales]:[hrs/sem 
accordées]])=4,"","&lt;-- Veuillez compléter tous les champs"))</f>
        <v/>
      </c>
    </row>
    <row r="31" spans="2:11" x14ac:dyDescent="0.25">
      <c r="B31" s="7">
        <v>23</v>
      </c>
      <c r="C31" s="8"/>
      <c r="D31" s="10"/>
      <c r="E31" s="10"/>
      <c r="F31" s="461"/>
      <c r="G3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1" s="72" t="str">
        <f>IF(COUNTA(EBS[[#This Row],[Initiales]:[hrs/sem 
accordées]])=0,"",IF(COUNTA(EBS[[#This Row],[Initiales]:[hrs/sem 
accordées]])=4,"","&lt;-- Veuillez compléter tous les champs"))</f>
        <v/>
      </c>
    </row>
    <row r="32" spans="2:11" x14ac:dyDescent="0.25">
      <c r="B32" s="7">
        <v>24</v>
      </c>
      <c r="C32" s="8"/>
      <c r="D32" s="10"/>
      <c r="E32" s="10"/>
      <c r="F32" s="461"/>
      <c r="G3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2" s="72" t="str">
        <f>IF(COUNTA(EBS[[#This Row],[Initiales]:[hrs/sem 
accordées]])=0,"",IF(COUNTA(EBS[[#This Row],[Initiales]:[hrs/sem 
accordées]])=4,"","&lt;-- Veuillez compléter tous les champs"))</f>
        <v/>
      </c>
    </row>
    <row r="33" spans="2:9" x14ac:dyDescent="0.25">
      <c r="B33" s="7">
        <v>25</v>
      </c>
      <c r="C33" s="8"/>
      <c r="D33" s="10"/>
      <c r="E33" s="10"/>
      <c r="F33" s="461"/>
      <c r="G3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3" s="72" t="str">
        <f>IF(COUNTA(EBS[[#This Row],[Initiales]:[hrs/sem 
accordées]])=0,"",IF(COUNTA(EBS[[#This Row],[Initiales]:[hrs/sem 
accordées]])=4,"","&lt;-- Veuillez compléter tous les champs"))</f>
        <v/>
      </c>
    </row>
    <row r="34" spans="2:9" x14ac:dyDescent="0.25">
      <c r="B34" s="7">
        <v>26</v>
      </c>
      <c r="C34" s="8"/>
      <c r="D34" s="10"/>
      <c r="E34" s="10"/>
      <c r="F34" s="461"/>
      <c r="G3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4" s="72" t="str">
        <f>IF(COUNTA(EBS[[#This Row],[Initiales]:[hrs/sem 
accordées]])=0,"",IF(COUNTA(EBS[[#This Row],[Initiales]:[hrs/sem 
accordées]])=4,"","&lt;-- Veuillez compléter tous les champs"))</f>
        <v/>
      </c>
    </row>
    <row r="35" spans="2:9" x14ac:dyDescent="0.25">
      <c r="B35" s="7">
        <v>27</v>
      </c>
      <c r="C35" s="8"/>
      <c r="D35" s="10"/>
      <c r="E35" s="10"/>
      <c r="F35" s="461"/>
      <c r="G3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5" s="72" t="str">
        <f>IF(COUNTA(EBS[[#This Row],[Initiales]:[hrs/sem 
accordées]])=0,"",IF(COUNTA(EBS[[#This Row],[Initiales]:[hrs/sem 
accordées]])=4,"","&lt;-- Veuillez compléter tous les champs"))</f>
        <v/>
      </c>
    </row>
    <row r="36" spans="2:9" x14ac:dyDescent="0.25">
      <c r="B36" s="7">
        <v>28</v>
      </c>
      <c r="C36" s="8"/>
      <c r="D36" s="10"/>
      <c r="E36" s="10"/>
      <c r="F36" s="461"/>
      <c r="G3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6" s="72" t="str">
        <f>IF(COUNTA(EBS[[#This Row],[Initiales]:[hrs/sem 
accordées]])=0,"",IF(COUNTA(EBS[[#This Row],[Initiales]:[hrs/sem 
accordées]])=4,"","&lt;-- Veuillez compléter tous les champs"))</f>
        <v/>
      </c>
    </row>
    <row r="37" spans="2:9" x14ac:dyDescent="0.25">
      <c r="B37" s="7">
        <v>29</v>
      </c>
      <c r="C37" s="8"/>
      <c r="D37" s="10"/>
      <c r="E37" s="10"/>
      <c r="F37" s="461"/>
      <c r="G3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7" s="72" t="str">
        <f>IF(COUNTA(EBS[[#This Row],[Initiales]:[hrs/sem 
accordées]])=0,"",IF(COUNTA(EBS[[#This Row],[Initiales]:[hrs/sem 
accordées]])=4,"","&lt;-- Veuillez compléter tous les champs"))</f>
        <v/>
      </c>
    </row>
    <row r="38" spans="2:9" x14ac:dyDescent="0.25">
      <c r="B38" s="7">
        <v>30</v>
      </c>
      <c r="C38" s="8"/>
      <c r="D38" s="10"/>
      <c r="E38" s="10"/>
      <c r="F38" s="461"/>
      <c r="G3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8" s="72" t="str">
        <f>IF(COUNTA(EBS[[#This Row],[Initiales]:[hrs/sem 
accordées]])=0,"",IF(COUNTA(EBS[[#This Row],[Initiales]:[hrs/sem 
accordées]])=4,"","&lt;-- Veuillez compléter tous les champs"))</f>
        <v/>
      </c>
    </row>
    <row r="39" spans="2:9" x14ac:dyDescent="0.25">
      <c r="B39" s="7">
        <v>31</v>
      </c>
      <c r="C39" s="8"/>
      <c r="D39" s="10"/>
      <c r="E39" s="10"/>
      <c r="F39" s="461"/>
      <c r="G3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39" s="72" t="str">
        <f>IF(COUNTA(EBS[[#This Row],[Initiales]:[hrs/sem 
accordées]])=0,"",IF(COUNTA(EBS[[#This Row],[Initiales]:[hrs/sem 
accordées]])=4,"","&lt;-- Veuillez compléter tous les champs"))</f>
        <v/>
      </c>
    </row>
    <row r="40" spans="2:9" x14ac:dyDescent="0.25">
      <c r="B40" s="7">
        <v>32</v>
      </c>
      <c r="C40" s="8"/>
      <c r="D40" s="10"/>
      <c r="E40" s="10"/>
      <c r="F40" s="461"/>
      <c r="G4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0" s="72" t="str">
        <f>IF(COUNTA(EBS[[#This Row],[Initiales]:[hrs/sem 
accordées]])=0,"",IF(COUNTA(EBS[[#This Row],[Initiales]:[hrs/sem 
accordées]])=4,"","&lt;-- Veuillez compléter tous les champs"))</f>
        <v/>
      </c>
    </row>
    <row r="41" spans="2:9" x14ac:dyDescent="0.25">
      <c r="B41" s="7">
        <v>33</v>
      </c>
      <c r="C41" s="8"/>
      <c r="D41" s="10"/>
      <c r="E41" s="10"/>
      <c r="F41" s="461"/>
      <c r="G4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1" s="72" t="str">
        <f>IF(COUNTA(EBS[[#This Row],[Initiales]:[hrs/sem 
accordées]])=0,"",IF(COUNTA(EBS[[#This Row],[Initiales]:[hrs/sem 
accordées]])=4,"","&lt;-- Veuillez compléter tous les champs"))</f>
        <v/>
      </c>
    </row>
    <row r="42" spans="2:9" x14ac:dyDescent="0.25">
      <c r="B42" s="7">
        <v>34</v>
      </c>
      <c r="C42" s="8"/>
      <c r="D42" s="10"/>
      <c r="E42" s="10"/>
      <c r="F42" s="461"/>
      <c r="G4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2" s="72" t="str">
        <f>IF(COUNTA(EBS[[#This Row],[Initiales]:[hrs/sem 
accordées]])=0,"",IF(COUNTA(EBS[[#This Row],[Initiales]:[hrs/sem 
accordées]])=4,"","&lt;-- Veuillez compléter tous les champs"))</f>
        <v/>
      </c>
    </row>
    <row r="43" spans="2:9" x14ac:dyDescent="0.25">
      <c r="B43" s="7">
        <v>35</v>
      </c>
      <c r="C43" s="8"/>
      <c r="D43" s="10"/>
      <c r="E43" s="10"/>
      <c r="F43" s="461"/>
      <c r="G4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3" s="72" t="str">
        <f>IF(COUNTA(EBS[[#This Row],[Initiales]:[hrs/sem 
accordées]])=0,"",IF(COUNTA(EBS[[#This Row],[Initiales]:[hrs/sem 
accordées]])=4,"","&lt;-- Veuillez compléter tous les champs"))</f>
        <v/>
      </c>
    </row>
    <row r="44" spans="2:9" x14ac:dyDescent="0.25">
      <c r="B44" s="7">
        <v>36</v>
      </c>
      <c r="C44" s="8"/>
      <c r="D44" s="10"/>
      <c r="E44" s="10"/>
      <c r="F44" s="461"/>
      <c r="G4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4" s="72" t="str">
        <f>IF(COUNTA(EBS[[#This Row],[Initiales]:[hrs/sem 
accordées]])=0,"",IF(COUNTA(EBS[[#This Row],[Initiales]:[hrs/sem 
accordées]])=4,"","&lt;-- Veuillez compléter tous les champs"))</f>
        <v/>
      </c>
    </row>
    <row r="45" spans="2:9" x14ac:dyDescent="0.25">
      <c r="B45" s="7">
        <v>37</v>
      </c>
      <c r="C45" s="8"/>
      <c r="D45" s="10"/>
      <c r="E45" s="10"/>
      <c r="F45" s="461"/>
      <c r="G4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5" s="72" t="str">
        <f>IF(COUNTA(EBS[[#This Row],[Initiales]:[hrs/sem 
accordées]])=0,"",IF(COUNTA(EBS[[#This Row],[Initiales]:[hrs/sem 
accordées]])=4,"","&lt;-- Veuillez compléter tous les champs"))</f>
        <v/>
      </c>
    </row>
    <row r="46" spans="2:9" x14ac:dyDescent="0.25">
      <c r="B46" s="7">
        <v>38</v>
      </c>
      <c r="C46" s="8"/>
      <c r="D46" s="10"/>
      <c r="E46" s="10"/>
      <c r="F46" s="461"/>
      <c r="G4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6" s="72" t="str">
        <f>IF(COUNTA(EBS[[#This Row],[Initiales]:[hrs/sem 
accordées]])=0,"",IF(COUNTA(EBS[[#This Row],[Initiales]:[hrs/sem 
accordées]])=4,"","&lt;-- Veuillez compléter tous les champs"))</f>
        <v/>
      </c>
    </row>
    <row r="47" spans="2:9" x14ac:dyDescent="0.25">
      <c r="B47" s="7">
        <v>39</v>
      </c>
      <c r="C47" s="8"/>
      <c r="D47" s="10"/>
      <c r="E47" s="10"/>
      <c r="F47" s="461"/>
      <c r="G4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7" s="72" t="str">
        <f>IF(COUNTA(EBS[[#This Row],[Initiales]:[hrs/sem 
accordées]])=0,"",IF(COUNTA(EBS[[#This Row],[Initiales]:[hrs/sem 
accordées]])=4,"","&lt;-- Veuillez compléter tous les champs"))</f>
        <v/>
      </c>
    </row>
    <row r="48" spans="2:9" x14ac:dyDescent="0.25">
      <c r="B48" s="7">
        <v>40</v>
      </c>
      <c r="C48" s="8"/>
      <c r="D48" s="10"/>
      <c r="E48" s="10"/>
      <c r="F48" s="461"/>
      <c r="G4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8" s="72" t="str">
        <f>IF(COUNTA(EBS[[#This Row],[Initiales]:[hrs/sem 
accordées]])=0,"",IF(COUNTA(EBS[[#This Row],[Initiales]:[hrs/sem 
accordées]])=4,"","&lt;-- Veuillez compléter tous les champs"))</f>
        <v/>
      </c>
    </row>
    <row r="49" spans="2:9" x14ac:dyDescent="0.25">
      <c r="B49" s="7">
        <v>41</v>
      </c>
      <c r="C49" s="8"/>
      <c r="D49" s="10"/>
      <c r="E49" s="10"/>
      <c r="F49" s="461"/>
      <c r="G4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49" s="72" t="str">
        <f>IF(COUNTA(EBS[[#This Row],[Initiales]:[hrs/sem 
accordées]])=0,"",IF(COUNTA(EBS[[#This Row],[Initiales]:[hrs/sem 
accordées]])=4,"","&lt;-- Veuillez compléter tous les champs"))</f>
        <v/>
      </c>
    </row>
    <row r="50" spans="2:9" x14ac:dyDescent="0.25">
      <c r="B50" s="7">
        <v>42</v>
      </c>
      <c r="C50" s="8"/>
      <c r="D50" s="10"/>
      <c r="E50" s="10"/>
      <c r="F50" s="461"/>
      <c r="G5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0" s="72" t="str">
        <f>IF(COUNTA(EBS[[#This Row],[Initiales]:[hrs/sem 
accordées]])=0,"",IF(COUNTA(EBS[[#This Row],[Initiales]:[hrs/sem 
accordées]])=4,"","&lt;-- Veuillez compléter tous les champs"))</f>
        <v/>
      </c>
    </row>
    <row r="51" spans="2:9" x14ac:dyDescent="0.25">
      <c r="B51" s="7">
        <v>43</v>
      </c>
      <c r="C51" s="8"/>
      <c r="D51" s="10"/>
      <c r="E51" s="10"/>
      <c r="F51" s="461"/>
      <c r="G5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1" s="72" t="str">
        <f>IF(COUNTA(EBS[[#This Row],[Initiales]:[hrs/sem 
accordées]])=0,"",IF(COUNTA(EBS[[#This Row],[Initiales]:[hrs/sem 
accordées]])=4,"","&lt;-- Veuillez compléter tous les champs"))</f>
        <v/>
      </c>
    </row>
    <row r="52" spans="2:9" x14ac:dyDescent="0.25">
      <c r="B52" s="7">
        <v>44</v>
      </c>
      <c r="C52" s="8"/>
      <c r="D52" s="10"/>
      <c r="E52" s="10"/>
      <c r="F52" s="461"/>
      <c r="G5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2" s="72" t="str">
        <f>IF(COUNTA(EBS[[#This Row],[Initiales]:[hrs/sem 
accordées]])=0,"",IF(COUNTA(EBS[[#This Row],[Initiales]:[hrs/sem 
accordées]])=4,"","&lt;-- Veuillez compléter tous les champs"))</f>
        <v/>
      </c>
    </row>
    <row r="53" spans="2:9" x14ac:dyDescent="0.25">
      <c r="B53" s="7">
        <v>45</v>
      </c>
      <c r="C53" s="8"/>
      <c r="D53" s="10"/>
      <c r="E53" s="10"/>
      <c r="F53" s="461"/>
      <c r="G5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3" s="72" t="str">
        <f>IF(COUNTA(EBS[[#This Row],[Initiales]:[hrs/sem 
accordées]])=0,"",IF(COUNTA(EBS[[#This Row],[Initiales]:[hrs/sem 
accordées]])=4,"","&lt;-- Veuillez compléter tous les champs"))</f>
        <v/>
      </c>
    </row>
    <row r="54" spans="2:9" x14ac:dyDescent="0.25">
      <c r="B54" s="7">
        <v>46</v>
      </c>
      <c r="C54" s="8"/>
      <c r="D54" s="10"/>
      <c r="E54" s="10"/>
      <c r="F54" s="461"/>
      <c r="G5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4" s="72" t="str">
        <f>IF(COUNTA(EBS[[#This Row],[Initiales]:[hrs/sem 
accordées]])=0,"",IF(COUNTA(EBS[[#This Row],[Initiales]:[hrs/sem 
accordées]])=4,"","&lt;-- Veuillez compléter tous les champs"))</f>
        <v/>
      </c>
    </row>
    <row r="55" spans="2:9" x14ac:dyDescent="0.25">
      <c r="B55" s="7">
        <v>47</v>
      </c>
      <c r="C55" s="8"/>
      <c r="D55" s="10"/>
      <c r="E55" s="10"/>
      <c r="F55" s="461"/>
      <c r="G5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5" s="72" t="str">
        <f>IF(COUNTA(EBS[[#This Row],[Initiales]:[hrs/sem 
accordées]])=0,"",IF(COUNTA(EBS[[#This Row],[Initiales]:[hrs/sem 
accordées]])=4,"","&lt;-- Veuillez compléter tous les champs"))</f>
        <v/>
      </c>
    </row>
    <row r="56" spans="2:9" x14ac:dyDescent="0.25">
      <c r="B56" s="7">
        <v>48</v>
      </c>
      <c r="C56" s="8"/>
      <c r="D56" s="10"/>
      <c r="E56" s="10"/>
      <c r="F56" s="461"/>
      <c r="G5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6" s="72" t="str">
        <f>IF(COUNTA(EBS[[#This Row],[Initiales]:[hrs/sem 
accordées]])=0,"",IF(COUNTA(EBS[[#This Row],[Initiales]:[hrs/sem 
accordées]])=4,"","&lt;-- Veuillez compléter tous les champs"))</f>
        <v/>
      </c>
    </row>
    <row r="57" spans="2:9" x14ac:dyDescent="0.25">
      <c r="B57" s="7">
        <v>49</v>
      </c>
      <c r="C57" s="8"/>
      <c r="D57" s="10"/>
      <c r="E57" s="10"/>
      <c r="F57" s="461"/>
      <c r="G5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7" s="72" t="str">
        <f>IF(COUNTA(EBS[[#This Row],[Initiales]:[hrs/sem 
accordées]])=0,"",IF(COUNTA(EBS[[#This Row],[Initiales]:[hrs/sem 
accordées]])=4,"","&lt;-- Veuillez compléter tous les champs"))</f>
        <v/>
      </c>
    </row>
    <row r="58" spans="2:9" x14ac:dyDescent="0.25">
      <c r="B58" s="7">
        <v>50</v>
      </c>
      <c r="C58" s="8"/>
      <c r="D58" s="10"/>
      <c r="E58" s="10"/>
      <c r="F58" s="461"/>
      <c r="G5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8" s="72" t="str">
        <f>IF(COUNTA(EBS[[#This Row],[Initiales]:[hrs/sem 
accordées]])=0,"",IF(COUNTA(EBS[[#This Row],[Initiales]:[hrs/sem 
accordées]])=4,"","&lt;-- Veuillez compléter tous les champs"))</f>
        <v/>
      </c>
    </row>
    <row r="59" spans="2:9" x14ac:dyDescent="0.25">
      <c r="B59" s="7">
        <v>51</v>
      </c>
      <c r="C59" s="8"/>
      <c r="D59" s="10"/>
      <c r="E59" s="10"/>
      <c r="F59" s="461"/>
      <c r="G5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59" s="72" t="str">
        <f>IF(COUNTA(EBS[[#This Row],[Initiales]:[hrs/sem 
accordées]])=0,"",IF(COUNTA(EBS[[#This Row],[Initiales]:[hrs/sem 
accordées]])=4,"","&lt;-- Veuillez compléter tous les champs"))</f>
        <v/>
      </c>
    </row>
    <row r="60" spans="2:9" x14ac:dyDescent="0.25">
      <c r="B60" s="7">
        <v>52</v>
      </c>
      <c r="C60" s="8"/>
      <c r="D60" s="10"/>
      <c r="E60" s="10"/>
      <c r="F60" s="461"/>
      <c r="G6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0" s="72" t="str">
        <f>IF(COUNTA(EBS[[#This Row],[Initiales]:[hrs/sem 
accordées]])=0,"",IF(COUNTA(EBS[[#This Row],[Initiales]:[hrs/sem 
accordées]])=4,"","&lt;-- Veuillez compléter tous les champs"))</f>
        <v/>
      </c>
    </row>
    <row r="61" spans="2:9" x14ac:dyDescent="0.25">
      <c r="B61" s="7">
        <v>53</v>
      </c>
      <c r="C61" s="8"/>
      <c r="D61" s="10"/>
      <c r="E61" s="10"/>
      <c r="F61" s="461"/>
      <c r="G6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1" s="72" t="str">
        <f>IF(COUNTA(EBS[[#This Row],[Initiales]:[hrs/sem 
accordées]])=0,"",IF(COUNTA(EBS[[#This Row],[Initiales]:[hrs/sem 
accordées]])=4,"","&lt;-- Veuillez compléter tous les champs"))</f>
        <v/>
      </c>
    </row>
    <row r="62" spans="2:9" x14ac:dyDescent="0.25">
      <c r="B62" s="7">
        <v>54</v>
      </c>
      <c r="C62" s="8"/>
      <c r="D62" s="10"/>
      <c r="E62" s="10"/>
      <c r="F62" s="461"/>
      <c r="G6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2" s="72" t="str">
        <f>IF(COUNTA(EBS[[#This Row],[Initiales]:[hrs/sem 
accordées]])=0,"",IF(COUNTA(EBS[[#This Row],[Initiales]:[hrs/sem 
accordées]])=4,"","&lt;-- Veuillez compléter tous les champs"))</f>
        <v/>
      </c>
    </row>
    <row r="63" spans="2:9" x14ac:dyDescent="0.25">
      <c r="B63" s="7">
        <v>55</v>
      </c>
      <c r="C63" s="8"/>
      <c r="D63" s="10"/>
      <c r="E63" s="10"/>
      <c r="F63" s="461"/>
      <c r="G6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3" s="72" t="str">
        <f>IF(COUNTA(EBS[[#This Row],[Initiales]:[hrs/sem 
accordées]])=0,"",IF(COUNTA(EBS[[#This Row],[Initiales]:[hrs/sem 
accordées]])=4,"","&lt;-- Veuillez compléter tous les champs"))</f>
        <v/>
      </c>
    </row>
    <row r="64" spans="2:9" x14ac:dyDescent="0.25">
      <c r="B64" s="7">
        <v>56</v>
      </c>
      <c r="C64" s="8"/>
      <c r="D64" s="10"/>
      <c r="E64" s="10"/>
      <c r="F64" s="461"/>
      <c r="G6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4" s="72" t="str">
        <f>IF(COUNTA(EBS[[#This Row],[Initiales]:[hrs/sem 
accordées]])=0,"",IF(COUNTA(EBS[[#This Row],[Initiales]:[hrs/sem 
accordées]])=4,"","&lt;-- Veuillez compléter tous les champs"))</f>
        <v/>
      </c>
    </row>
    <row r="65" spans="2:9" x14ac:dyDescent="0.25">
      <c r="B65" s="7">
        <v>57</v>
      </c>
      <c r="C65" s="8"/>
      <c r="D65" s="10"/>
      <c r="E65" s="10"/>
      <c r="F65" s="461"/>
      <c r="G6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5" s="72" t="str">
        <f>IF(COUNTA(EBS[[#This Row],[Initiales]:[hrs/sem 
accordées]])=0,"",IF(COUNTA(EBS[[#This Row],[Initiales]:[hrs/sem 
accordées]])=4,"","&lt;-- Veuillez compléter tous les champs"))</f>
        <v/>
      </c>
    </row>
    <row r="66" spans="2:9" x14ac:dyDescent="0.25">
      <c r="B66" s="7">
        <v>58</v>
      </c>
      <c r="C66" s="8"/>
      <c r="D66" s="10"/>
      <c r="E66" s="10"/>
      <c r="F66" s="461"/>
      <c r="G6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6" s="72" t="str">
        <f>IF(COUNTA(EBS[[#This Row],[Initiales]:[hrs/sem 
accordées]])=0,"",IF(COUNTA(EBS[[#This Row],[Initiales]:[hrs/sem 
accordées]])=4,"","&lt;-- Veuillez compléter tous les champs"))</f>
        <v/>
      </c>
    </row>
    <row r="67" spans="2:9" x14ac:dyDescent="0.25">
      <c r="B67" s="7">
        <v>59</v>
      </c>
      <c r="C67" s="8"/>
      <c r="D67" s="10"/>
      <c r="E67" s="10"/>
      <c r="F67" s="461"/>
      <c r="G6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7" s="72" t="str">
        <f>IF(COUNTA(EBS[[#This Row],[Initiales]:[hrs/sem 
accordées]])=0,"",IF(COUNTA(EBS[[#This Row],[Initiales]:[hrs/sem 
accordées]])=4,"","&lt;-- Veuillez compléter tous les champs"))</f>
        <v/>
      </c>
    </row>
    <row r="68" spans="2:9" x14ac:dyDescent="0.25">
      <c r="B68" s="7">
        <v>60</v>
      </c>
      <c r="C68" s="8"/>
      <c r="D68" s="10"/>
      <c r="E68" s="10"/>
      <c r="F68" s="461"/>
      <c r="G6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8" s="72" t="str">
        <f>IF(COUNTA(EBS[[#This Row],[Initiales]:[hrs/sem 
accordées]])=0,"",IF(COUNTA(EBS[[#This Row],[Initiales]:[hrs/sem 
accordées]])=4,"","&lt;-- Veuillez compléter tous les champs"))</f>
        <v/>
      </c>
    </row>
    <row r="69" spans="2:9" x14ac:dyDescent="0.25">
      <c r="B69" s="7">
        <v>61</v>
      </c>
      <c r="C69" s="8"/>
      <c r="D69" s="10"/>
      <c r="E69" s="10"/>
      <c r="F69" s="461"/>
      <c r="G6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69" s="72" t="str">
        <f>IF(COUNTA(EBS[[#This Row],[Initiales]:[hrs/sem 
accordées]])=0,"",IF(COUNTA(EBS[[#This Row],[Initiales]:[hrs/sem 
accordées]])=4,"","&lt;-- Veuillez compléter tous les champs"))</f>
        <v/>
      </c>
    </row>
    <row r="70" spans="2:9" x14ac:dyDescent="0.25">
      <c r="B70" s="7">
        <v>62</v>
      </c>
      <c r="C70" s="8"/>
      <c r="D70" s="10"/>
      <c r="E70" s="10"/>
      <c r="F70" s="461"/>
      <c r="G7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0" s="72" t="str">
        <f>IF(COUNTA(EBS[[#This Row],[Initiales]:[hrs/sem 
accordées]])=0,"",IF(COUNTA(EBS[[#This Row],[Initiales]:[hrs/sem 
accordées]])=4,"","&lt;-- Veuillez compléter tous les champs"))</f>
        <v/>
      </c>
    </row>
    <row r="71" spans="2:9" x14ac:dyDescent="0.25">
      <c r="B71" s="7">
        <v>63</v>
      </c>
      <c r="C71" s="8"/>
      <c r="D71" s="10"/>
      <c r="E71" s="10"/>
      <c r="F71" s="461"/>
      <c r="G7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1" s="72" t="str">
        <f>IF(COUNTA(EBS[[#This Row],[Initiales]:[hrs/sem 
accordées]])=0,"",IF(COUNTA(EBS[[#This Row],[Initiales]:[hrs/sem 
accordées]])=4,"","&lt;-- Veuillez compléter tous les champs"))</f>
        <v/>
      </c>
    </row>
    <row r="72" spans="2:9" x14ac:dyDescent="0.25">
      <c r="B72" s="7">
        <v>64</v>
      </c>
      <c r="C72" s="8"/>
      <c r="D72" s="10"/>
      <c r="E72" s="10"/>
      <c r="F72" s="461"/>
      <c r="G7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2" s="72" t="str">
        <f>IF(COUNTA(EBS[[#This Row],[Initiales]:[hrs/sem 
accordées]])=0,"",IF(COUNTA(EBS[[#This Row],[Initiales]:[hrs/sem 
accordées]])=4,"","&lt;-- Veuillez compléter tous les champs"))</f>
        <v/>
      </c>
    </row>
    <row r="73" spans="2:9" x14ac:dyDescent="0.25">
      <c r="B73" s="7">
        <v>65</v>
      </c>
      <c r="C73" s="8"/>
      <c r="D73" s="10"/>
      <c r="E73" s="10"/>
      <c r="F73" s="461"/>
      <c r="G7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3" s="72" t="str">
        <f>IF(COUNTA(EBS[[#This Row],[Initiales]:[hrs/sem 
accordées]])=0,"",IF(COUNTA(EBS[[#This Row],[Initiales]:[hrs/sem 
accordées]])=4,"","&lt;-- Veuillez compléter tous les champs"))</f>
        <v/>
      </c>
    </row>
    <row r="74" spans="2:9" x14ac:dyDescent="0.25">
      <c r="B74" s="7">
        <v>66</v>
      </c>
      <c r="C74" s="8"/>
      <c r="D74" s="10"/>
      <c r="E74" s="10"/>
      <c r="F74" s="461"/>
      <c r="G7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4" s="72" t="str">
        <f>IF(COUNTA(EBS[[#This Row],[Initiales]:[hrs/sem 
accordées]])=0,"",IF(COUNTA(EBS[[#This Row],[Initiales]:[hrs/sem 
accordées]])=4,"","&lt;-- Veuillez compléter tous les champs"))</f>
        <v/>
      </c>
    </row>
    <row r="75" spans="2:9" x14ac:dyDescent="0.25">
      <c r="B75" s="7">
        <v>67</v>
      </c>
      <c r="C75" s="8"/>
      <c r="D75" s="10"/>
      <c r="E75" s="10"/>
      <c r="F75" s="461"/>
      <c r="G7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5" s="72" t="str">
        <f>IF(COUNTA(EBS[[#This Row],[Initiales]:[hrs/sem 
accordées]])=0,"",IF(COUNTA(EBS[[#This Row],[Initiales]:[hrs/sem 
accordées]])=4,"","&lt;-- Veuillez compléter tous les champs"))</f>
        <v/>
      </c>
    </row>
    <row r="76" spans="2:9" x14ac:dyDescent="0.25">
      <c r="B76" s="7">
        <v>68</v>
      </c>
      <c r="C76" s="8"/>
      <c r="D76" s="10"/>
      <c r="E76" s="10"/>
      <c r="F76" s="461"/>
      <c r="G7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6" s="72" t="str">
        <f>IF(COUNTA(EBS[[#This Row],[Initiales]:[hrs/sem 
accordées]])=0,"",IF(COUNTA(EBS[[#This Row],[Initiales]:[hrs/sem 
accordées]])=4,"","&lt;-- Veuillez compléter tous les champs"))</f>
        <v/>
      </c>
    </row>
    <row r="77" spans="2:9" x14ac:dyDescent="0.25">
      <c r="B77" s="7">
        <v>69</v>
      </c>
      <c r="C77" s="8"/>
      <c r="D77" s="10"/>
      <c r="E77" s="10"/>
      <c r="F77" s="461"/>
      <c r="G7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7" s="72" t="str">
        <f>IF(COUNTA(EBS[[#This Row],[Initiales]:[hrs/sem 
accordées]])=0,"",IF(COUNTA(EBS[[#This Row],[Initiales]:[hrs/sem 
accordées]])=4,"","&lt;-- Veuillez compléter tous les champs"))</f>
        <v/>
      </c>
    </row>
    <row r="78" spans="2:9" x14ac:dyDescent="0.25">
      <c r="B78" s="7">
        <v>70</v>
      </c>
      <c r="C78" s="8"/>
      <c r="D78" s="10"/>
      <c r="E78" s="10"/>
      <c r="F78" s="461"/>
      <c r="G7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8" s="72" t="str">
        <f>IF(COUNTA(EBS[[#This Row],[Initiales]:[hrs/sem 
accordées]])=0,"",IF(COUNTA(EBS[[#This Row],[Initiales]:[hrs/sem 
accordées]])=4,"","&lt;-- Veuillez compléter tous les champs"))</f>
        <v/>
      </c>
    </row>
    <row r="79" spans="2:9" x14ac:dyDescent="0.25">
      <c r="B79" s="7">
        <v>71</v>
      </c>
      <c r="C79" s="8"/>
      <c r="D79" s="10"/>
      <c r="E79" s="10"/>
      <c r="F79" s="461"/>
      <c r="G7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79" s="72" t="str">
        <f>IF(COUNTA(EBS[[#This Row],[Initiales]:[hrs/sem 
accordées]])=0,"",IF(COUNTA(EBS[[#This Row],[Initiales]:[hrs/sem 
accordées]])=4,"","&lt;-- Veuillez compléter tous les champs"))</f>
        <v/>
      </c>
    </row>
    <row r="80" spans="2:9" x14ac:dyDescent="0.25">
      <c r="B80" s="7">
        <v>72</v>
      </c>
      <c r="C80" s="8"/>
      <c r="D80" s="10"/>
      <c r="E80" s="10"/>
      <c r="F80" s="461"/>
      <c r="G8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0" s="72" t="str">
        <f>IF(COUNTA(EBS[[#This Row],[Initiales]:[hrs/sem 
accordées]])=0,"",IF(COUNTA(EBS[[#This Row],[Initiales]:[hrs/sem 
accordées]])=4,"","&lt;-- Veuillez compléter tous les champs"))</f>
        <v/>
      </c>
    </row>
    <row r="81" spans="2:9" x14ac:dyDescent="0.25">
      <c r="B81" s="7">
        <v>73</v>
      </c>
      <c r="C81" s="8"/>
      <c r="D81" s="10"/>
      <c r="E81" s="10"/>
      <c r="F81" s="461"/>
      <c r="G8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1" s="72" t="str">
        <f>IF(COUNTA(EBS[[#This Row],[Initiales]:[hrs/sem 
accordées]])=0,"",IF(COUNTA(EBS[[#This Row],[Initiales]:[hrs/sem 
accordées]])=4,"","&lt;-- Veuillez compléter tous les champs"))</f>
        <v/>
      </c>
    </row>
    <row r="82" spans="2:9" x14ac:dyDescent="0.25">
      <c r="B82" s="7">
        <v>74</v>
      </c>
      <c r="C82" s="8"/>
      <c r="D82" s="10"/>
      <c r="E82" s="10"/>
      <c r="F82" s="461"/>
      <c r="G8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2" s="72" t="str">
        <f>IF(COUNTA(EBS[[#This Row],[Initiales]:[hrs/sem 
accordées]])=0,"",IF(COUNTA(EBS[[#This Row],[Initiales]:[hrs/sem 
accordées]])=4,"","&lt;-- Veuillez compléter tous les champs"))</f>
        <v/>
      </c>
    </row>
    <row r="83" spans="2:9" x14ac:dyDescent="0.25">
      <c r="B83" s="7">
        <v>75</v>
      </c>
      <c r="C83" s="8"/>
      <c r="D83" s="10"/>
      <c r="E83" s="10"/>
      <c r="F83" s="461"/>
      <c r="G8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3" s="72" t="str">
        <f>IF(COUNTA(EBS[[#This Row],[Initiales]:[hrs/sem 
accordées]])=0,"",IF(COUNTA(EBS[[#This Row],[Initiales]:[hrs/sem 
accordées]])=4,"","&lt;-- Veuillez compléter tous les champs"))</f>
        <v/>
      </c>
    </row>
    <row r="84" spans="2:9" x14ac:dyDescent="0.25">
      <c r="B84" s="7">
        <v>76</v>
      </c>
      <c r="C84" s="8"/>
      <c r="D84" s="10"/>
      <c r="E84" s="10"/>
      <c r="F84" s="461"/>
      <c r="G8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4" s="72" t="str">
        <f>IF(COUNTA(EBS[[#This Row],[Initiales]:[hrs/sem 
accordées]])=0,"",IF(COUNTA(EBS[[#This Row],[Initiales]:[hrs/sem 
accordées]])=4,"","&lt;-- Veuillez compléter tous les champs"))</f>
        <v/>
      </c>
    </row>
    <row r="85" spans="2:9" x14ac:dyDescent="0.25">
      <c r="B85" s="7">
        <v>77</v>
      </c>
      <c r="C85" s="8"/>
      <c r="D85" s="10"/>
      <c r="E85" s="10"/>
      <c r="F85" s="461"/>
      <c r="G8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5" s="72" t="str">
        <f>IF(COUNTA(EBS[[#This Row],[Initiales]:[hrs/sem 
accordées]])=0,"",IF(COUNTA(EBS[[#This Row],[Initiales]:[hrs/sem 
accordées]])=4,"","&lt;-- Veuillez compléter tous les champs"))</f>
        <v/>
      </c>
    </row>
    <row r="86" spans="2:9" x14ac:dyDescent="0.25">
      <c r="B86" s="7">
        <v>78</v>
      </c>
      <c r="C86" s="8"/>
      <c r="D86" s="10"/>
      <c r="E86" s="10"/>
      <c r="F86" s="461"/>
      <c r="G8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6" s="72" t="str">
        <f>IF(COUNTA(EBS[[#This Row],[Initiales]:[hrs/sem 
accordées]])=0,"",IF(COUNTA(EBS[[#This Row],[Initiales]:[hrs/sem 
accordées]])=4,"","&lt;-- Veuillez compléter tous les champs"))</f>
        <v/>
      </c>
    </row>
    <row r="87" spans="2:9" x14ac:dyDescent="0.25">
      <c r="B87" s="7">
        <v>79</v>
      </c>
      <c r="C87" s="8"/>
      <c r="D87" s="10"/>
      <c r="E87" s="10"/>
      <c r="F87" s="461"/>
      <c r="G8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7" s="72" t="str">
        <f>IF(COUNTA(EBS[[#This Row],[Initiales]:[hrs/sem 
accordées]])=0,"",IF(COUNTA(EBS[[#This Row],[Initiales]:[hrs/sem 
accordées]])=4,"","&lt;-- Veuillez compléter tous les champs"))</f>
        <v/>
      </c>
    </row>
    <row r="88" spans="2:9" x14ac:dyDescent="0.25">
      <c r="B88" s="7">
        <v>80</v>
      </c>
      <c r="C88" s="8"/>
      <c r="D88" s="10"/>
      <c r="E88" s="10"/>
      <c r="F88" s="461"/>
      <c r="G8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8" s="72" t="str">
        <f>IF(COUNTA(EBS[[#This Row],[Initiales]:[hrs/sem 
accordées]])=0,"",IF(COUNTA(EBS[[#This Row],[Initiales]:[hrs/sem 
accordées]])=4,"","&lt;-- Veuillez compléter tous les champs"))</f>
        <v/>
      </c>
    </row>
    <row r="89" spans="2:9" x14ac:dyDescent="0.25">
      <c r="B89" s="7">
        <v>81</v>
      </c>
      <c r="C89" s="8"/>
      <c r="D89" s="10"/>
      <c r="E89" s="10"/>
      <c r="F89" s="461"/>
      <c r="G8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89" s="72" t="str">
        <f>IF(COUNTA(EBS[[#This Row],[Initiales]:[hrs/sem 
accordées]])=0,"",IF(COUNTA(EBS[[#This Row],[Initiales]:[hrs/sem 
accordées]])=4,"","&lt;-- Veuillez compléter tous les champs"))</f>
        <v/>
      </c>
    </row>
    <row r="90" spans="2:9" x14ac:dyDescent="0.25">
      <c r="B90" s="7">
        <v>82</v>
      </c>
      <c r="C90" s="8"/>
      <c r="D90" s="10"/>
      <c r="E90" s="10"/>
      <c r="F90" s="461"/>
      <c r="G9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0" s="72" t="str">
        <f>IF(COUNTA(EBS[[#This Row],[Initiales]:[hrs/sem 
accordées]])=0,"",IF(COUNTA(EBS[[#This Row],[Initiales]:[hrs/sem 
accordées]])=4,"","&lt;-- Veuillez compléter tous les champs"))</f>
        <v/>
      </c>
    </row>
    <row r="91" spans="2:9" x14ac:dyDescent="0.25">
      <c r="B91" s="7">
        <v>83</v>
      </c>
      <c r="C91" s="8"/>
      <c r="D91" s="10"/>
      <c r="E91" s="10"/>
      <c r="F91" s="461"/>
      <c r="G9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1" s="72" t="str">
        <f>IF(COUNTA(EBS[[#This Row],[Initiales]:[hrs/sem 
accordées]])=0,"",IF(COUNTA(EBS[[#This Row],[Initiales]:[hrs/sem 
accordées]])=4,"","&lt;-- Veuillez compléter tous les champs"))</f>
        <v/>
      </c>
    </row>
    <row r="92" spans="2:9" x14ac:dyDescent="0.25">
      <c r="B92" s="7">
        <v>84</v>
      </c>
      <c r="C92" s="8"/>
      <c r="D92" s="10"/>
      <c r="E92" s="10"/>
      <c r="F92" s="461"/>
      <c r="G9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2" s="72" t="str">
        <f>IF(COUNTA(EBS[[#This Row],[Initiales]:[hrs/sem 
accordées]])=0,"",IF(COUNTA(EBS[[#This Row],[Initiales]:[hrs/sem 
accordées]])=4,"","&lt;-- Veuillez compléter tous les champs"))</f>
        <v/>
      </c>
    </row>
    <row r="93" spans="2:9" x14ac:dyDescent="0.25">
      <c r="B93" s="7">
        <v>85</v>
      </c>
      <c r="C93" s="8"/>
      <c r="D93" s="10"/>
      <c r="E93" s="10"/>
      <c r="F93" s="461"/>
      <c r="G9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3" s="72" t="str">
        <f>IF(COUNTA(EBS[[#This Row],[Initiales]:[hrs/sem 
accordées]])=0,"",IF(COUNTA(EBS[[#This Row],[Initiales]:[hrs/sem 
accordées]])=4,"","&lt;-- Veuillez compléter tous les champs"))</f>
        <v/>
      </c>
    </row>
    <row r="94" spans="2:9" x14ac:dyDescent="0.25">
      <c r="B94" s="7">
        <v>86</v>
      </c>
      <c r="C94" s="8"/>
      <c r="D94" s="10"/>
      <c r="E94" s="10"/>
      <c r="F94" s="461"/>
      <c r="G9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4" s="72" t="str">
        <f>IF(COUNTA(EBS[[#This Row],[Initiales]:[hrs/sem 
accordées]])=0,"",IF(COUNTA(EBS[[#This Row],[Initiales]:[hrs/sem 
accordées]])=4,"","&lt;-- Veuillez compléter tous les champs"))</f>
        <v/>
      </c>
    </row>
    <row r="95" spans="2:9" x14ac:dyDescent="0.25">
      <c r="B95" s="7">
        <v>87</v>
      </c>
      <c r="C95" s="8"/>
      <c r="D95" s="10"/>
      <c r="E95" s="10"/>
      <c r="F95" s="461"/>
      <c r="G9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5" s="72" t="str">
        <f>IF(COUNTA(EBS[[#This Row],[Initiales]:[hrs/sem 
accordées]])=0,"",IF(COUNTA(EBS[[#This Row],[Initiales]:[hrs/sem 
accordées]])=4,"","&lt;-- Veuillez compléter tous les champs"))</f>
        <v/>
      </c>
    </row>
    <row r="96" spans="2:9" x14ac:dyDescent="0.25">
      <c r="B96" s="7">
        <v>88</v>
      </c>
      <c r="C96" s="8"/>
      <c r="D96" s="10"/>
      <c r="E96" s="10"/>
      <c r="F96" s="461"/>
      <c r="G9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6" s="72" t="str">
        <f>IF(COUNTA(EBS[[#This Row],[Initiales]:[hrs/sem 
accordées]])=0,"",IF(COUNTA(EBS[[#This Row],[Initiales]:[hrs/sem 
accordées]])=4,"","&lt;-- Veuillez compléter tous les champs"))</f>
        <v/>
      </c>
    </row>
    <row r="97" spans="2:9" x14ac:dyDescent="0.25">
      <c r="B97" s="7">
        <v>89</v>
      </c>
      <c r="C97" s="8"/>
      <c r="D97" s="10"/>
      <c r="E97" s="10"/>
      <c r="F97" s="461"/>
      <c r="G9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7" s="72" t="str">
        <f>IF(COUNTA(EBS[[#This Row],[Initiales]:[hrs/sem 
accordées]])=0,"",IF(COUNTA(EBS[[#This Row],[Initiales]:[hrs/sem 
accordées]])=4,"","&lt;-- Veuillez compléter tous les champs"))</f>
        <v/>
      </c>
    </row>
    <row r="98" spans="2:9" x14ac:dyDescent="0.25">
      <c r="B98" s="7">
        <v>90</v>
      </c>
      <c r="C98" s="8"/>
      <c r="D98" s="10"/>
      <c r="E98" s="10"/>
      <c r="F98" s="461"/>
      <c r="G9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8" s="72" t="str">
        <f>IF(COUNTA(EBS[[#This Row],[Initiales]:[hrs/sem 
accordées]])=0,"",IF(COUNTA(EBS[[#This Row],[Initiales]:[hrs/sem 
accordées]])=4,"","&lt;-- Veuillez compléter tous les champs"))</f>
        <v/>
      </c>
    </row>
    <row r="99" spans="2:9" x14ac:dyDescent="0.25">
      <c r="B99" s="7">
        <v>91</v>
      </c>
      <c r="C99" s="8"/>
      <c r="D99" s="10"/>
      <c r="E99" s="10"/>
      <c r="F99" s="461"/>
      <c r="G99"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99" s="72" t="str">
        <f>IF(COUNTA(EBS[[#This Row],[Initiales]:[hrs/sem 
accordées]])=0,"",IF(COUNTA(EBS[[#This Row],[Initiales]:[hrs/sem 
accordées]])=4,"","&lt;-- Veuillez compléter tous les champs"))</f>
        <v/>
      </c>
    </row>
    <row r="100" spans="2:9" x14ac:dyDescent="0.25">
      <c r="B100" s="7">
        <v>92</v>
      </c>
      <c r="C100" s="8"/>
      <c r="D100" s="10"/>
      <c r="E100" s="10"/>
      <c r="F100" s="461"/>
      <c r="G100"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0" s="72" t="str">
        <f>IF(COUNTA(EBS[[#This Row],[Initiales]:[hrs/sem 
accordées]])=0,"",IF(COUNTA(EBS[[#This Row],[Initiales]:[hrs/sem 
accordées]])=4,"","&lt;-- Veuillez compléter tous les champs"))</f>
        <v/>
      </c>
    </row>
    <row r="101" spans="2:9" x14ac:dyDescent="0.25">
      <c r="B101" s="7">
        <v>93</v>
      </c>
      <c r="C101" s="8"/>
      <c r="D101" s="10"/>
      <c r="E101" s="10"/>
      <c r="F101" s="461"/>
      <c r="G101"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1" s="72" t="str">
        <f>IF(COUNTA(EBS[[#This Row],[Initiales]:[hrs/sem 
accordées]])=0,"",IF(COUNTA(EBS[[#This Row],[Initiales]:[hrs/sem 
accordées]])=4,"","&lt;-- Veuillez compléter tous les champs"))</f>
        <v/>
      </c>
    </row>
    <row r="102" spans="2:9" x14ac:dyDescent="0.25">
      <c r="B102" s="7">
        <v>94</v>
      </c>
      <c r="C102" s="8"/>
      <c r="D102" s="10"/>
      <c r="E102" s="10"/>
      <c r="F102" s="461"/>
      <c r="G102"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2" s="72" t="str">
        <f>IF(COUNTA(EBS[[#This Row],[Initiales]:[hrs/sem 
accordées]])=0,"",IF(COUNTA(EBS[[#This Row],[Initiales]:[hrs/sem 
accordées]])=4,"","&lt;-- Veuillez compléter tous les champs"))</f>
        <v/>
      </c>
    </row>
    <row r="103" spans="2:9" x14ac:dyDescent="0.25">
      <c r="B103" s="7">
        <v>95</v>
      </c>
      <c r="C103" s="8"/>
      <c r="D103" s="10"/>
      <c r="E103" s="10"/>
      <c r="F103" s="461"/>
      <c r="G103"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3" s="72" t="str">
        <f>IF(COUNTA(EBS[[#This Row],[Initiales]:[hrs/sem 
accordées]])=0,"",IF(COUNTA(EBS[[#This Row],[Initiales]:[hrs/sem 
accordées]])=4,"","&lt;-- Veuillez compléter tous les champs"))</f>
        <v/>
      </c>
    </row>
    <row r="104" spans="2:9" x14ac:dyDescent="0.25">
      <c r="B104" s="7">
        <v>96</v>
      </c>
      <c r="C104" s="8"/>
      <c r="D104" s="10"/>
      <c r="E104" s="10"/>
      <c r="F104" s="461"/>
      <c r="G104"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4" s="72" t="str">
        <f>IF(COUNTA(EBS[[#This Row],[Initiales]:[hrs/sem 
accordées]])=0,"",IF(COUNTA(EBS[[#This Row],[Initiales]:[hrs/sem 
accordées]])=4,"","&lt;-- Veuillez compléter tous les champs"))</f>
        <v/>
      </c>
    </row>
    <row r="105" spans="2:9" x14ac:dyDescent="0.25">
      <c r="B105" s="7">
        <v>97</v>
      </c>
      <c r="C105" s="8"/>
      <c r="D105" s="10"/>
      <c r="E105" s="10"/>
      <c r="F105" s="461"/>
      <c r="G105"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5" s="72" t="str">
        <f>IF(COUNTA(EBS[[#This Row],[Initiales]:[hrs/sem 
accordées]])=0,"",IF(COUNTA(EBS[[#This Row],[Initiales]:[hrs/sem 
accordées]])=4,"","&lt;-- Veuillez compléter tous les champs"))</f>
        <v/>
      </c>
    </row>
    <row r="106" spans="2:9" x14ac:dyDescent="0.25">
      <c r="B106" s="7">
        <v>98</v>
      </c>
      <c r="C106" s="8"/>
      <c r="D106" s="10"/>
      <c r="E106" s="10"/>
      <c r="F106" s="461"/>
      <c r="G106"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6" s="72" t="str">
        <f>IF(COUNTA(EBS[[#This Row],[Initiales]:[hrs/sem 
accordées]])=0,"",IF(COUNTA(EBS[[#This Row],[Initiales]:[hrs/sem 
accordées]])=4,"","&lt;-- Veuillez compléter tous les champs"))</f>
        <v/>
      </c>
    </row>
    <row r="107" spans="2:9" x14ac:dyDescent="0.25">
      <c r="B107" s="7">
        <v>99</v>
      </c>
      <c r="C107" s="8"/>
      <c r="D107" s="10"/>
      <c r="E107" s="10"/>
      <c r="F107" s="461"/>
      <c r="G107"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7" s="72" t="str">
        <f>IF(COUNTA(EBS[[#This Row],[Initiales]:[hrs/sem 
accordées]])=0,"",IF(COUNTA(EBS[[#This Row],[Initiales]:[hrs/sem 
accordées]])=4,"","&lt;-- Veuillez compléter tous les champs"))</f>
        <v/>
      </c>
    </row>
    <row r="108" spans="2:9" x14ac:dyDescent="0.25">
      <c r="B108" s="7">
        <v>100</v>
      </c>
      <c r="C108" s="8"/>
      <c r="D108" s="10"/>
      <c r="E108" s="10"/>
      <c r="F108" s="461"/>
      <c r="G108" s="184" t="str">
        <f>IF(COUNTA(EBS[[#This Row],[Initiales]:[hrs/sem 
accordées]])=4,IF(AND(EBS[[#This Row],[du]]&lt;'Informations générales 1'!$C$26,EBS[[#This Row],[au]]&lt;'Informations générales 1'!$C$26)=TRUE,"",(IF(EBS[[#This Row],[au]]&gt;'Informations générales 1'!$C$27,WEEKNUM('Informations générales 1'!$C$27),WEEKNUM(EBS[[#This Row],[au]]))-IF(EBS[[#This Row],[du]]&lt;'Informations générales 1'!$C$26,WEEKNUM('Informations générales 1'!$C$26),WEEKNUM(EBS[[#This Row],[du]])))*EBS[[#This Row],[hrs/sem 
accordées]]),"")</f>
        <v/>
      </c>
      <c r="I108" s="72" t="str">
        <f>IF(COUNTA(EBS[[#This Row],[Initiales]:[hrs/sem 
accordées]])=0,"",IF(COUNTA(EBS[[#This Row],[Initiales]:[hrs/sem 
accordées]])=4,"","&lt;-- Veuillez compléter tous les champs"))</f>
        <v/>
      </c>
    </row>
    <row r="109" spans="2:9" x14ac:dyDescent="0.25">
      <c r="B109" s="7" t="s">
        <v>31</v>
      </c>
      <c r="C109" s="7"/>
      <c r="D109" s="7"/>
      <c r="E109" s="7"/>
      <c r="F109" s="7">
        <f>SUBTOTAL(109,EBS[hrs/sem 
accordées])</f>
        <v>0</v>
      </c>
      <c r="G109" s="240">
        <f>SUBTOTAL(109,EBS[heures annuelles])</f>
        <v>0</v>
      </c>
    </row>
  </sheetData>
  <sheetProtection algorithmName="SHA-512" hashValue="l0khi6uFmiXAwSpnkZqQNczcmiWnZNsnZDs53UQv7lH6zIiGEhfh6izLWACOJA0fCaUuXyMVuthKBR9MTwmh9w==" saltValue="9pJhrehD6ZFY+gh7ZaQSLw==" spinCount="100000" sheet="1" selectLockedCells="1" autoFilter="0"/>
  <dataValidations count="1">
    <dataValidation type="decimal" operator="greaterThanOrEqual" allowBlank="1" showInputMessage="1" showErrorMessage="1" sqref="F9:F108" xr:uid="{A54A0030-01FB-418D-9C83-862FCC313E06}">
      <formula1>0</formula1>
    </dataValidation>
  </dataValidations>
  <pageMargins left="0.70866141732283472" right="0.70866141732283472" top="0.74803149606299213" bottom="0.74803149606299213" header="0.31496062992125984" footer="0.31496062992125984"/>
  <pageSetup paperSize="9" scale="10" fitToHeight="0" orientation="portrait" r:id="rId1"/>
  <headerFooter>
    <oddHeader>&amp;C&amp;A</oddHeader>
    <oddFooter>&amp;R&amp;P/&amp;N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date" allowBlank="1" showInputMessage="1" showErrorMessage="1" errorTitle="Date hors des limites" error="La date de l'accord ne correspond pas à la validité de la convention. _x000a_(-&gt; Info gén. 1 Date Début/Fin Convention (C26:C27)" xr:uid="{00000000-0002-0000-0400-000000000000}">
          <x14:formula1>
            <xm:f>'Informations générales 1'!$C$26</xm:f>
          </x14:formula1>
          <x14:formula2>
            <xm:f>'Informations générales 1'!$C$27</xm:f>
          </x14:formula2>
          <xm:sqref>D9:E108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E130-0B62-44B7-BF40-C0595B73ABC0}">
  <sheetPr codeName="Sheet18">
    <tabColor rgb="FFFF0000"/>
  </sheetPr>
  <dimension ref="A1:Q150"/>
  <sheetViews>
    <sheetView workbookViewId="0">
      <selection activeCell="D7" sqref="D7"/>
    </sheetView>
  </sheetViews>
  <sheetFormatPr defaultRowHeight="15" x14ac:dyDescent="0.25"/>
  <cols>
    <col min="1" max="1" width="12.5703125" style="24" customWidth="1"/>
    <col min="2" max="2" width="27.42578125" style="24" bestFit="1" customWidth="1"/>
    <col min="3" max="3" width="9.42578125" style="24" customWidth="1"/>
    <col min="4" max="5" width="20.140625" style="24" customWidth="1"/>
    <col min="6" max="6" width="12.28515625" style="24" customWidth="1"/>
    <col min="7" max="7" width="23.7109375" style="24" bestFit="1" customWidth="1"/>
    <col min="8" max="8" width="32.85546875" style="24" customWidth="1"/>
    <col min="9" max="9" width="22.28515625" style="24" bestFit="1" customWidth="1"/>
    <col min="10" max="13" width="9.140625" style="24"/>
    <col min="14" max="14" width="19" style="24" bestFit="1" customWidth="1"/>
    <col min="15" max="15" width="25.7109375" style="24" bestFit="1" customWidth="1"/>
    <col min="16" max="16" width="30.140625" style="24" bestFit="1" customWidth="1"/>
    <col min="17" max="17" width="11.28515625" style="24" bestFit="1" customWidth="1"/>
    <col min="18" max="16384" width="9.140625" style="24"/>
  </cols>
  <sheetData>
    <row r="1" spans="1:17" x14ac:dyDescent="0.25">
      <c r="A1" s="2"/>
      <c r="B1" s="11" t="str">
        <f>'Informations générales 1'!B7</f>
        <v>DECOMPTE ANNUEL</v>
      </c>
    </row>
    <row r="2" spans="1:17" x14ac:dyDescent="0.25">
      <c r="A2" s="2"/>
      <c r="B2" s="11" t="str">
        <f>'Informations générales 1'!C20&amp;" - "&amp;'Informations générales 1'!C24</f>
        <v>Nom Gestionnaire - Nom SEA</v>
      </c>
    </row>
    <row r="3" spans="1:17" x14ac:dyDescent="0.25">
      <c r="A3" s="2"/>
      <c r="B3" s="19">
        <f>'Informations générales 1'!C10</f>
        <v>2024</v>
      </c>
    </row>
    <row r="6" spans="1:17" x14ac:dyDescent="0.25">
      <c r="B6" s="11" t="s">
        <v>640</v>
      </c>
      <c r="C6" s="377"/>
    </row>
    <row r="7" spans="1:17" x14ac:dyDescent="0.25">
      <c r="B7" s="2" t="s">
        <v>632</v>
      </c>
      <c r="C7" s="239"/>
      <c r="D7" s="24">
        <f>COUNTIF(Fonctionnement[Compte],"6182")+COUNTIF(Fonctionnement[Compte],"6182*")+COUNTIF(Fonctionnement[Compte],"*6182")+COUNTIF(Fonctionnement[Compte],"*6182*")+COUNTIF(Fonctionnement[Compte],"61882")+COUNTIF(Fonctionnement[Compte],"61882*")+COUNTIF(Fonctionnement[Compte],"*61882")+COUNTIF(Fonctionnement[Compte],"*61882*")</f>
        <v>0</v>
      </c>
    </row>
    <row r="8" spans="1:17" x14ac:dyDescent="0.25">
      <c r="B8" s="2" t="s">
        <v>644</v>
      </c>
      <c r="C8" s="239"/>
      <c r="N8" s="472" t="s">
        <v>88</v>
      </c>
      <c r="O8" t="s">
        <v>650</v>
      </c>
    </row>
    <row r="10" spans="1:17" x14ac:dyDescent="0.25">
      <c r="B10" s="23" t="s">
        <v>633</v>
      </c>
      <c r="C10" s="23" t="s">
        <v>634</v>
      </c>
      <c r="D10" s="23" t="s">
        <v>635</v>
      </c>
      <c r="E10" s="23" t="s">
        <v>642</v>
      </c>
      <c r="F10" s="23" t="s">
        <v>636</v>
      </c>
      <c r="G10" s="23" t="s">
        <v>643</v>
      </c>
      <c r="H10" s="23" t="s">
        <v>639</v>
      </c>
      <c r="I10" s="23" t="s">
        <v>641</v>
      </c>
      <c r="N10" s="472" t="s">
        <v>648</v>
      </c>
      <c r="O10" s="472" t="s">
        <v>651</v>
      </c>
      <c r="P10"/>
      <c r="Q10"/>
    </row>
    <row r="11" spans="1:17" x14ac:dyDescent="0.25">
      <c r="B11" s="23"/>
      <c r="C11" s="23"/>
      <c r="D11" s="23"/>
      <c r="E11" s="23"/>
      <c r="F11" s="23"/>
      <c r="G11" s="23"/>
      <c r="H11" s="23"/>
      <c r="I11" s="23"/>
      <c r="N11" s="472" t="s">
        <v>646</v>
      </c>
      <c r="O11" t="s">
        <v>637</v>
      </c>
      <c r="P11" t="s">
        <v>638</v>
      </c>
      <c r="Q11" t="s">
        <v>647</v>
      </c>
    </row>
    <row r="12" spans="1:17" x14ac:dyDescent="0.25">
      <c r="B12" s="23"/>
      <c r="C12" s="23"/>
      <c r="D12" s="23"/>
      <c r="E12" s="23"/>
      <c r="F12" s="23"/>
      <c r="G12" s="23"/>
      <c r="H12" s="23"/>
      <c r="I12" s="23"/>
      <c r="N12" s="473" t="s">
        <v>645</v>
      </c>
      <c r="O12" s="474"/>
      <c r="P12" s="474">
        <v>1234</v>
      </c>
      <c r="Q12" s="474">
        <v>1234</v>
      </c>
    </row>
    <row r="13" spans="1:17" x14ac:dyDescent="0.25">
      <c r="B13" s="23"/>
      <c r="C13" s="23"/>
      <c r="D13" s="23"/>
      <c r="E13" s="23"/>
      <c r="F13" s="23"/>
      <c r="G13" s="23"/>
      <c r="H13" s="23"/>
      <c r="I13" s="23"/>
      <c r="N13" s="473" t="s">
        <v>649</v>
      </c>
      <c r="O13" s="474">
        <v>500</v>
      </c>
      <c r="P13" s="474"/>
      <c r="Q13" s="474">
        <v>500</v>
      </c>
    </row>
    <row r="14" spans="1:17" x14ac:dyDescent="0.25">
      <c r="B14" s="23"/>
      <c r="C14" s="23"/>
      <c r="D14" s="23"/>
      <c r="E14" s="23"/>
      <c r="F14" s="23"/>
      <c r="G14" s="23"/>
      <c r="H14" s="23"/>
      <c r="I14" s="23"/>
      <c r="N14" s="473" t="s">
        <v>647</v>
      </c>
      <c r="O14" s="474">
        <v>500</v>
      </c>
      <c r="P14" s="474">
        <v>1234</v>
      </c>
      <c r="Q14" s="474">
        <v>1734</v>
      </c>
    </row>
    <row r="15" spans="1:17" x14ac:dyDescent="0.25">
      <c r="B15" s="23"/>
      <c r="C15" s="23"/>
      <c r="D15" s="23"/>
      <c r="E15" s="23"/>
      <c r="F15" s="23"/>
      <c r="G15" s="23"/>
      <c r="H15" s="23"/>
      <c r="I15" s="23"/>
      <c r="N15"/>
      <c r="O15"/>
      <c r="P15"/>
    </row>
    <row r="16" spans="1:17" x14ac:dyDescent="0.25">
      <c r="B16" s="23"/>
      <c r="C16" s="23"/>
      <c r="D16" s="23"/>
      <c r="E16" s="23"/>
      <c r="F16" s="23"/>
      <c r="G16" s="23"/>
      <c r="H16" s="23"/>
      <c r="I16" s="23"/>
      <c r="N16"/>
      <c r="O16"/>
      <c r="P16"/>
    </row>
    <row r="17" spans="2:16" x14ac:dyDescent="0.25">
      <c r="B17" s="23"/>
      <c r="C17" s="23"/>
      <c r="D17" s="23"/>
      <c r="E17" s="23"/>
      <c r="F17" s="23"/>
      <c r="G17" s="23"/>
      <c r="H17" s="23"/>
      <c r="I17" s="23"/>
      <c r="N17"/>
      <c r="O17"/>
      <c r="P17"/>
    </row>
    <row r="18" spans="2:16" x14ac:dyDescent="0.25">
      <c r="B18" s="23"/>
      <c r="C18" s="23"/>
      <c r="D18" s="23"/>
      <c r="E18" s="23"/>
      <c r="F18" s="23"/>
      <c r="G18" s="23"/>
      <c r="H18" s="23"/>
      <c r="I18" s="23"/>
      <c r="N18"/>
      <c r="O18"/>
      <c r="P18"/>
    </row>
    <row r="19" spans="2:16" x14ac:dyDescent="0.25">
      <c r="B19" s="23"/>
      <c r="C19" s="23"/>
      <c r="D19" s="23"/>
      <c r="E19" s="23"/>
      <c r="F19" s="23"/>
      <c r="G19" s="23"/>
      <c r="H19" s="23"/>
      <c r="I19" s="23"/>
      <c r="N19"/>
      <c r="O19"/>
      <c r="P19"/>
    </row>
    <row r="20" spans="2:16" x14ac:dyDescent="0.25">
      <c r="B20" s="23"/>
      <c r="C20" s="23"/>
      <c r="D20" s="23"/>
      <c r="E20" s="23"/>
      <c r="F20" s="23"/>
      <c r="G20" s="23"/>
      <c r="H20" s="23"/>
      <c r="I20" s="23"/>
      <c r="N20"/>
      <c r="O20"/>
      <c r="P20"/>
    </row>
    <row r="21" spans="2:16" x14ac:dyDescent="0.25">
      <c r="B21" s="23"/>
      <c r="C21" s="23"/>
      <c r="D21" s="23"/>
      <c r="E21" s="23"/>
      <c r="F21" s="23"/>
      <c r="G21" s="23"/>
      <c r="H21" s="23"/>
      <c r="I21" s="23"/>
      <c r="N21"/>
      <c r="O21"/>
      <c r="P21"/>
    </row>
    <row r="22" spans="2:16" x14ac:dyDescent="0.25">
      <c r="B22" s="23"/>
      <c r="C22" s="23"/>
      <c r="D22" s="23"/>
      <c r="E22" s="23"/>
      <c r="F22" s="23"/>
      <c r="G22" s="23"/>
      <c r="H22" s="23"/>
      <c r="I22" s="23"/>
      <c r="N22"/>
      <c r="O22"/>
      <c r="P22"/>
    </row>
    <row r="23" spans="2:16" x14ac:dyDescent="0.25">
      <c r="B23" s="23"/>
      <c r="C23" s="23"/>
      <c r="D23" s="23"/>
      <c r="E23" s="23"/>
      <c r="F23" s="23"/>
      <c r="G23" s="23"/>
      <c r="H23" s="23"/>
      <c r="I23" s="23"/>
      <c r="N23"/>
      <c r="O23"/>
      <c r="P23"/>
    </row>
    <row r="24" spans="2:16" x14ac:dyDescent="0.25">
      <c r="B24" s="23"/>
      <c r="C24" s="23"/>
      <c r="D24" s="23"/>
      <c r="E24" s="23"/>
      <c r="F24" s="23"/>
      <c r="G24" s="23"/>
      <c r="H24" s="23"/>
      <c r="I24" s="23"/>
      <c r="N24"/>
      <c r="O24"/>
      <c r="P24"/>
    </row>
    <row r="25" spans="2:16" x14ac:dyDescent="0.25">
      <c r="B25" s="23"/>
      <c r="C25" s="23"/>
      <c r="D25" s="23"/>
      <c r="E25" s="23"/>
      <c r="F25" s="23"/>
      <c r="G25" s="23"/>
      <c r="H25" s="23"/>
      <c r="I25" s="23"/>
      <c r="N25"/>
      <c r="O25"/>
      <c r="P25"/>
    </row>
    <row r="26" spans="2:16" x14ac:dyDescent="0.25">
      <c r="B26" s="23"/>
      <c r="C26" s="23"/>
      <c r="D26" s="23"/>
      <c r="E26" s="23"/>
      <c r="F26" s="23"/>
      <c r="G26" s="23"/>
      <c r="H26" s="23"/>
      <c r="I26" s="23"/>
      <c r="N26"/>
      <c r="O26"/>
      <c r="P26"/>
    </row>
    <row r="27" spans="2:16" x14ac:dyDescent="0.25">
      <c r="B27" s="23"/>
      <c r="C27" s="23"/>
      <c r="D27" s="23"/>
      <c r="E27" s="23"/>
      <c r="F27" s="23"/>
      <c r="G27" s="23"/>
      <c r="H27" s="23"/>
      <c r="I27" s="23"/>
      <c r="N27"/>
      <c r="O27"/>
      <c r="P27"/>
    </row>
    <row r="28" spans="2:16" x14ac:dyDescent="0.25">
      <c r="B28" s="23"/>
      <c r="C28" s="23"/>
      <c r="D28" s="23"/>
      <c r="E28" s="23"/>
      <c r="F28" s="23"/>
      <c r="G28" s="23"/>
      <c r="H28" s="23"/>
      <c r="I28" s="23"/>
    </row>
    <row r="29" spans="2:16" x14ac:dyDescent="0.25">
      <c r="B29" s="23"/>
      <c r="C29" s="23"/>
      <c r="D29" s="23"/>
      <c r="E29" s="23"/>
      <c r="F29" s="23"/>
      <c r="G29" s="23"/>
      <c r="H29" s="23"/>
      <c r="I29" s="23"/>
    </row>
    <row r="30" spans="2:16" x14ac:dyDescent="0.25">
      <c r="B30" s="23"/>
      <c r="C30" s="23"/>
      <c r="D30" s="23"/>
      <c r="E30" s="23"/>
      <c r="F30" s="23"/>
      <c r="G30" s="23"/>
      <c r="H30" s="23"/>
      <c r="I30" s="23"/>
    </row>
    <row r="31" spans="2:16" x14ac:dyDescent="0.25">
      <c r="B31" s="23"/>
      <c r="C31" s="23"/>
      <c r="D31" s="23"/>
      <c r="E31" s="23"/>
      <c r="F31" s="23"/>
      <c r="G31" s="23"/>
      <c r="H31" s="23"/>
      <c r="I31" s="23"/>
    </row>
    <row r="32" spans="2:16" x14ac:dyDescent="0.25">
      <c r="B32" s="23"/>
      <c r="C32" s="23"/>
      <c r="D32" s="23"/>
      <c r="E32" s="23"/>
      <c r="F32" s="23"/>
      <c r="G32" s="23"/>
      <c r="H32" s="23"/>
      <c r="I32" s="23"/>
    </row>
    <row r="33" spans="2:9" x14ac:dyDescent="0.25">
      <c r="B33" s="23"/>
      <c r="C33" s="23"/>
      <c r="D33" s="23"/>
      <c r="E33" s="23"/>
      <c r="F33" s="23"/>
      <c r="G33" s="23"/>
      <c r="H33" s="23"/>
      <c r="I33" s="23"/>
    </row>
    <row r="34" spans="2:9" x14ac:dyDescent="0.25">
      <c r="B34" s="23"/>
      <c r="C34" s="23"/>
      <c r="D34" s="23"/>
      <c r="E34" s="23"/>
      <c r="F34" s="23"/>
      <c r="G34" s="23"/>
      <c r="H34" s="23"/>
      <c r="I34" s="23"/>
    </row>
    <row r="35" spans="2:9" x14ac:dyDescent="0.25">
      <c r="B35" s="23"/>
      <c r="C35" s="23"/>
      <c r="D35" s="23"/>
      <c r="E35" s="23"/>
      <c r="F35" s="23"/>
      <c r="G35" s="23"/>
      <c r="H35" s="23"/>
      <c r="I35" s="23"/>
    </row>
    <row r="36" spans="2:9" x14ac:dyDescent="0.25">
      <c r="B36" s="23"/>
      <c r="C36" s="23"/>
      <c r="D36" s="23"/>
      <c r="E36" s="23"/>
      <c r="F36" s="23"/>
      <c r="G36" s="23"/>
      <c r="H36" s="23"/>
      <c r="I36" s="23"/>
    </row>
    <row r="37" spans="2:9" x14ac:dyDescent="0.25">
      <c r="B37" s="23"/>
      <c r="C37" s="23"/>
      <c r="D37" s="23"/>
      <c r="E37" s="23"/>
      <c r="F37" s="23"/>
      <c r="G37" s="23"/>
      <c r="H37" s="23"/>
      <c r="I37" s="23"/>
    </row>
    <row r="38" spans="2:9" x14ac:dyDescent="0.25">
      <c r="B38" s="23"/>
      <c r="C38" s="23"/>
      <c r="D38" s="23"/>
      <c r="E38" s="23"/>
      <c r="F38" s="23"/>
      <c r="G38" s="23"/>
      <c r="H38" s="23"/>
      <c r="I38" s="23"/>
    </row>
    <row r="39" spans="2:9" x14ac:dyDescent="0.25">
      <c r="B39" s="23"/>
      <c r="C39" s="23"/>
      <c r="D39" s="23"/>
      <c r="E39" s="23"/>
      <c r="F39" s="23"/>
      <c r="G39" s="23"/>
      <c r="H39" s="23"/>
      <c r="I39" s="23"/>
    </row>
    <row r="40" spans="2:9" x14ac:dyDescent="0.25">
      <c r="B40" s="23"/>
      <c r="C40" s="23"/>
      <c r="D40" s="23"/>
      <c r="E40" s="23"/>
      <c r="F40" s="23"/>
      <c r="G40" s="23"/>
      <c r="H40" s="23"/>
      <c r="I40" s="23"/>
    </row>
    <row r="41" spans="2:9" x14ac:dyDescent="0.25">
      <c r="B41" s="23"/>
      <c r="C41" s="23"/>
      <c r="D41" s="23"/>
      <c r="E41" s="23"/>
      <c r="F41" s="23"/>
      <c r="G41" s="23"/>
      <c r="H41" s="23"/>
      <c r="I41" s="23"/>
    </row>
    <row r="42" spans="2:9" x14ac:dyDescent="0.25">
      <c r="B42" s="23"/>
      <c r="C42" s="23"/>
      <c r="D42" s="23"/>
      <c r="E42" s="23"/>
      <c r="F42" s="23"/>
      <c r="G42" s="23"/>
      <c r="H42" s="23"/>
      <c r="I42" s="23"/>
    </row>
    <row r="43" spans="2:9" x14ac:dyDescent="0.25">
      <c r="B43" s="23"/>
      <c r="C43" s="23"/>
      <c r="D43" s="23"/>
      <c r="E43" s="23"/>
      <c r="F43" s="23"/>
      <c r="G43" s="23"/>
      <c r="H43" s="23"/>
      <c r="I43" s="23"/>
    </row>
    <row r="44" spans="2:9" x14ac:dyDescent="0.25">
      <c r="B44" s="23"/>
      <c r="C44" s="23"/>
      <c r="D44" s="23"/>
      <c r="E44" s="23"/>
      <c r="F44" s="23"/>
      <c r="G44" s="23"/>
      <c r="H44" s="23"/>
      <c r="I44" s="23"/>
    </row>
    <row r="45" spans="2:9" x14ac:dyDescent="0.25">
      <c r="B45" s="23"/>
      <c r="C45" s="23"/>
      <c r="D45" s="23"/>
      <c r="E45" s="23"/>
      <c r="F45" s="23"/>
      <c r="G45" s="23"/>
      <c r="H45" s="23"/>
      <c r="I45" s="23"/>
    </row>
    <row r="46" spans="2:9" x14ac:dyDescent="0.25">
      <c r="B46" s="23"/>
      <c r="C46" s="23"/>
      <c r="D46" s="23"/>
      <c r="E46" s="23"/>
      <c r="F46" s="23"/>
      <c r="G46" s="23"/>
      <c r="H46" s="23"/>
      <c r="I46" s="23"/>
    </row>
    <row r="47" spans="2:9" x14ac:dyDescent="0.25">
      <c r="B47" s="23"/>
      <c r="C47" s="23"/>
      <c r="D47" s="23"/>
      <c r="E47" s="23"/>
      <c r="F47" s="23"/>
      <c r="G47" s="23"/>
      <c r="H47" s="23"/>
      <c r="I47" s="23"/>
    </row>
    <row r="48" spans="2:9" x14ac:dyDescent="0.25">
      <c r="B48" s="23"/>
      <c r="C48" s="23"/>
      <c r="D48" s="23"/>
      <c r="E48" s="23"/>
      <c r="F48" s="23"/>
      <c r="G48" s="23"/>
      <c r="H48" s="23"/>
      <c r="I48" s="23"/>
    </row>
    <row r="49" spans="2:9" x14ac:dyDescent="0.25">
      <c r="B49" s="23"/>
      <c r="C49" s="23"/>
      <c r="D49" s="23"/>
      <c r="E49" s="23"/>
      <c r="F49" s="23"/>
      <c r="G49" s="23"/>
      <c r="H49" s="23"/>
      <c r="I49" s="23"/>
    </row>
    <row r="50" spans="2:9" x14ac:dyDescent="0.25">
      <c r="B50" s="23"/>
      <c r="C50" s="23"/>
      <c r="D50" s="23"/>
      <c r="E50" s="23"/>
      <c r="F50" s="23"/>
      <c r="G50" s="23"/>
      <c r="H50" s="23"/>
      <c r="I50" s="23"/>
    </row>
    <row r="51" spans="2:9" x14ac:dyDescent="0.25">
      <c r="B51" s="23"/>
      <c r="C51" s="23"/>
      <c r="D51" s="23"/>
      <c r="E51" s="23"/>
      <c r="F51" s="23"/>
      <c r="G51" s="23"/>
      <c r="H51" s="23"/>
      <c r="I51" s="23"/>
    </row>
    <row r="52" spans="2:9" x14ac:dyDescent="0.25">
      <c r="B52" s="23"/>
      <c r="C52" s="23"/>
      <c r="D52" s="23"/>
      <c r="E52" s="23"/>
      <c r="F52" s="23"/>
      <c r="G52" s="23"/>
      <c r="H52" s="23"/>
      <c r="I52" s="23"/>
    </row>
    <row r="53" spans="2:9" x14ac:dyDescent="0.25">
      <c r="B53" s="23"/>
      <c r="C53" s="23"/>
      <c r="D53" s="23"/>
      <c r="E53" s="23"/>
      <c r="F53" s="23"/>
      <c r="G53" s="23"/>
      <c r="H53" s="23"/>
      <c r="I53" s="23"/>
    </row>
    <row r="54" spans="2:9" x14ac:dyDescent="0.25">
      <c r="B54" s="23"/>
      <c r="C54" s="23"/>
      <c r="D54" s="23"/>
      <c r="E54" s="23"/>
      <c r="F54" s="23"/>
      <c r="G54" s="23"/>
      <c r="H54" s="23"/>
      <c r="I54" s="23"/>
    </row>
    <row r="55" spans="2:9" x14ac:dyDescent="0.25">
      <c r="B55" s="23"/>
      <c r="C55" s="23"/>
      <c r="D55" s="23"/>
      <c r="E55" s="23"/>
      <c r="F55" s="23"/>
      <c r="G55" s="23"/>
      <c r="H55" s="23"/>
      <c r="I55" s="23"/>
    </row>
    <row r="56" spans="2:9" x14ac:dyDescent="0.25">
      <c r="B56" s="23"/>
      <c r="C56" s="23"/>
      <c r="D56" s="23"/>
      <c r="E56" s="23"/>
      <c r="F56" s="23"/>
      <c r="G56" s="23"/>
      <c r="H56" s="23"/>
      <c r="I56" s="23"/>
    </row>
    <row r="57" spans="2:9" x14ac:dyDescent="0.25">
      <c r="B57" s="23"/>
      <c r="C57" s="23"/>
      <c r="D57" s="23"/>
      <c r="E57" s="23"/>
      <c r="F57" s="23"/>
      <c r="G57" s="23"/>
      <c r="H57" s="23"/>
      <c r="I57" s="23"/>
    </row>
    <row r="58" spans="2:9" x14ac:dyDescent="0.25">
      <c r="B58" s="23"/>
      <c r="C58" s="23"/>
      <c r="D58" s="23"/>
      <c r="E58" s="23"/>
      <c r="F58" s="23"/>
      <c r="G58" s="23"/>
      <c r="H58" s="23"/>
      <c r="I58" s="23"/>
    </row>
    <row r="59" spans="2:9" x14ac:dyDescent="0.25">
      <c r="B59" s="23"/>
      <c r="C59" s="23"/>
      <c r="D59" s="23"/>
      <c r="E59" s="23"/>
      <c r="F59" s="23"/>
      <c r="G59" s="23"/>
      <c r="H59" s="23"/>
      <c r="I59" s="23"/>
    </row>
    <row r="60" spans="2:9" x14ac:dyDescent="0.25">
      <c r="B60" s="23"/>
      <c r="C60" s="23"/>
      <c r="D60" s="23"/>
      <c r="E60" s="23"/>
      <c r="F60" s="23"/>
      <c r="G60" s="23"/>
      <c r="H60" s="23"/>
      <c r="I60" s="23"/>
    </row>
    <row r="61" spans="2:9" x14ac:dyDescent="0.25">
      <c r="B61" s="23"/>
      <c r="C61" s="23"/>
      <c r="D61" s="23"/>
      <c r="E61" s="23"/>
      <c r="F61" s="23"/>
      <c r="G61" s="23"/>
      <c r="H61" s="23"/>
      <c r="I61" s="23"/>
    </row>
    <row r="62" spans="2:9" x14ac:dyDescent="0.25">
      <c r="B62" s="23"/>
      <c r="C62" s="23"/>
      <c r="D62" s="23"/>
      <c r="E62" s="23"/>
      <c r="F62" s="23"/>
      <c r="G62" s="23"/>
      <c r="H62" s="23"/>
      <c r="I62" s="23"/>
    </row>
    <row r="63" spans="2:9" x14ac:dyDescent="0.25">
      <c r="B63" s="23"/>
      <c r="C63" s="23"/>
      <c r="D63" s="23"/>
      <c r="E63" s="23"/>
      <c r="F63" s="23"/>
      <c r="G63" s="23"/>
      <c r="H63" s="23"/>
      <c r="I63" s="23"/>
    </row>
    <row r="64" spans="2:9" x14ac:dyDescent="0.25">
      <c r="B64" s="23"/>
      <c r="C64" s="23"/>
      <c r="D64" s="23"/>
      <c r="E64" s="23"/>
      <c r="F64" s="23"/>
      <c r="G64" s="23"/>
      <c r="H64" s="23"/>
      <c r="I64" s="23"/>
    </row>
    <row r="65" spans="2:9" x14ac:dyDescent="0.25">
      <c r="B65" s="23"/>
      <c r="C65" s="23"/>
      <c r="D65" s="23"/>
      <c r="E65" s="23"/>
      <c r="F65" s="23"/>
      <c r="G65" s="23"/>
      <c r="H65" s="23"/>
      <c r="I65" s="23"/>
    </row>
    <row r="66" spans="2:9" x14ac:dyDescent="0.25">
      <c r="B66" s="23"/>
      <c r="C66" s="23"/>
      <c r="D66" s="23"/>
      <c r="E66" s="23"/>
      <c r="F66" s="23"/>
      <c r="G66" s="23"/>
      <c r="H66" s="23"/>
      <c r="I66" s="23"/>
    </row>
    <row r="67" spans="2:9" x14ac:dyDescent="0.25">
      <c r="B67" s="23"/>
      <c r="C67" s="23"/>
      <c r="D67" s="23"/>
      <c r="E67" s="23"/>
      <c r="F67" s="23"/>
      <c r="G67" s="23"/>
      <c r="H67" s="23"/>
      <c r="I67" s="23"/>
    </row>
    <row r="68" spans="2:9" x14ac:dyDescent="0.25">
      <c r="B68" s="23"/>
      <c r="C68" s="23"/>
      <c r="D68" s="23"/>
      <c r="E68" s="23"/>
      <c r="F68" s="23"/>
      <c r="G68" s="23"/>
      <c r="H68" s="23"/>
      <c r="I68" s="23"/>
    </row>
    <row r="69" spans="2:9" x14ac:dyDescent="0.25">
      <c r="B69" s="23"/>
      <c r="C69" s="23"/>
      <c r="D69" s="23"/>
      <c r="E69" s="23"/>
      <c r="F69" s="23"/>
      <c r="G69" s="23"/>
      <c r="H69" s="23"/>
      <c r="I69" s="23"/>
    </row>
    <row r="70" spans="2:9" x14ac:dyDescent="0.25">
      <c r="B70" s="23"/>
      <c r="C70" s="23"/>
      <c r="D70" s="23"/>
      <c r="E70" s="23"/>
      <c r="F70" s="23"/>
      <c r="G70" s="23"/>
      <c r="H70" s="23"/>
      <c r="I70" s="23"/>
    </row>
    <row r="71" spans="2:9" x14ac:dyDescent="0.25">
      <c r="B71" s="23"/>
      <c r="C71" s="23"/>
      <c r="D71" s="23"/>
      <c r="E71" s="23"/>
      <c r="F71" s="23"/>
      <c r="G71" s="23"/>
      <c r="H71" s="23"/>
      <c r="I71" s="23"/>
    </row>
    <row r="72" spans="2:9" x14ac:dyDescent="0.25">
      <c r="B72" s="23"/>
      <c r="C72" s="23"/>
      <c r="D72" s="23"/>
      <c r="E72" s="23"/>
      <c r="F72" s="23"/>
      <c r="G72" s="23"/>
      <c r="H72" s="23"/>
      <c r="I72" s="23"/>
    </row>
    <row r="73" spans="2:9" x14ac:dyDescent="0.25">
      <c r="B73" s="23"/>
      <c r="C73" s="23"/>
      <c r="D73" s="23"/>
      <c r="E73" s="23"/>
      <c r="F73" s="23"/>
      <c r="G73" s="23"/>
      <c r="H73" s="23"/>
      <c r="I73" s="23"/>
    </row>
    <row r="74" spans="2:9" x14ac:dyDescent="0.25">
      <c r="B74" s="23"/>
      <c r="C74" s="23"/>
      <c r="D74" s="23"/>
      <c r="E74" s="23"/>
      <c r="F74" s="23"/>
      <c r="G74" s="23"/>
      <c r="H74" s="23"/>
      <c r="I74" s="23"/>
    </row>
    <row r="75" spans="2:9" x14ac:dyDescent="0.25">
      <c r="B75" s="23"/>
      <c r="C75" s="23"/>
      <c r="D75" s="23"/>
      <c r="E75" s="23"/>
      <c r="F75" s="23"/>
      <c r="G75" s="23"/>
      <c r="H75" s="23"/>
      <c r="I75" s="23"/>
    </row>
    <row r="76" spans="2:9" x14ac:dyDescent="0.25">
      <c r="B76" s="23"/>
      <c r="C76" s="23"/>
      <c r="D76" s="23"/>
      <c r="E76" s="23"/>
      <c r="F76" s="23"/>
      <c r="G76" s="23"/>
      <c r="H76" s="23"/>
      <c r="I76" s="23"/>
    </row>
    <row r="77" spans="2:9" x14ac:dyDescent="0.25">
      <c r="B77" s="23"/>
      <c r="C77" s="23"/>
      <c r="D77" s="23"/>
      <c r="E77" s="23"/>
      <c r="F77" s="23"/>
      <c r="G77" s="23"/>
      <c r="H77" s="23"/>
      <c r="I77" s="23"/>
    </row>
    <row r="78" spans="2:9" x14ac:dyDescent="0.25">
      <c r="B78" s="23"/>
      <c r="C78" s="23"/>
      <c r="D78" s="23"/>
      <c r="E78" s="23"/>
      <c r="F78" s="23"/>
      <c r="G78" s="23"/>
      <c r="H78" s="23"/>
      <c r="I78" s="23"/>
    </row>
    <row r="79" spans="2:9" x14ac:dyDescent="0.25">
      <c r="B79" s="23"/>
      <c r="C79" s="23"/>
      <c r="D79" s="23"/>
      <c r="E79" s="23"/>
      <c r="F79" s="23"/>
      <c r="G79" s="23"/>
      <c r="H79" s="23"/>
      <c r="I79" s="23"/>
    </row>
    <row r="80" spans="2:9" x14ac:dyDescent="0.25">
      <c r="B80" s="23"/>
      <c r="C80" s="23"/>
      <c r="D80" s="23"/>
      <c r="E80" s="23"/>
      <c r="F80" s="23"/>
      <c r="G80" s="23"/>
      <c r="H80" s="23"/>
      <c r="I80" s="23"/>
    </row>
    <row r="81" spans="2:9" x14ac:dyDescent="0.25">
      <c r="B81" s="23"/>
      <c r="C81" s="23"/>
      <c r="D81" s="23"/>
      <c r="E81" s="23"/>
      <c r="F81" s="23"/>
      <c r="G81" s="23"/>
      <c r="H81" s="23"/>
      <c r="I81" s="23"/>
    </row>
    <row r="82" spans="2:9" x14ac:dyDescent="0.25">
      <c r="B82" s="23"/>
      <c r="C82" s="23"/>
      <c r="D82" s="23"/>
      <c r="E82" s="23"/>
      <c r="F82" s="23"/>
      <c r="G82" s="23"/>
      <c r="H82" s="23"/>
      <c r="I82" s="23"/>
    </row>
    <row r="83" spans="2:9" x14ac:dyDescent="0.25">
      <c r="B83" s="23"/>
      <c r="C83" s="23"/>
      <c r="D83" s="23"/>
      <c r="E83" s="23"/>
      <c r="F83" s="23"/>
      <c r="G83" s="23"/>
      <c r="H83" s="23"/>
      <c r="I83" s="23"/>
    </row>
    <row r="84" spans="2:9" x14ac:dyDescent="0.25">
      <c r="B84" s="23"/>
      <c r="C84" s="23"/>
      <c r="D84" s="23"/>
      <c r="E84" s="23"/>
      <c r="F84" s="23"/>
      <c r="G84" s="23"/>
      <c r="H84" s="23"/>
      <c r="I84" s="23"/>
    </row>
    <row r="85" spans="2:9" x14ac:dyDescent="0.25">
      <c r="B85" s="23"/>
      <c r="C85" s="23"/>
      <c r="D85" s="23"/>
      <c r="E85" s="23"/>
      <c r="F85" s="23"/>
      <c r="G85" s="23"/>
      <c r="H85" s="23"/>
      <c r="I85" s="23"/>
    </row>
    <row r="86" spans="2:9" x14ac:dyDescent="0.25">
      <c r="B86" s="23"/>
      <c r="C86" s="23"/>
      <c r="D86" s="23"/>
      <c r="E86" s="23"/>
      <c r="F86" s="23"/>
      <c r="G86" s="23"/>
      <c r="H86" s="23"/>
      <c r="I86" s="23"/>
    </row>
    <row r="87" spans="2:9" x14ac:dyDescent="0.25">
      <c r="B87" s="23"/>
      <c r="C87" s="23"/>
      <c r="D87" s="23"/>
      <c r="E87" s="23"/>
      <c r="F87" s="23"/>
      <c r="G87" s="23"/>
      <c r="H87" s="23"/>
      <c r="I87" s="23"/>
    </row>
    <row r="88" spans="2:9" x14ac:dyDescent="0.25">
      <c r="B88" s="23"/>
      <c r="C88" s="23"/>
      <c r="D88" s="23"/>
      <c r="E88" s="23"/>
      <c r="F88" s="23"/>
      <c r="G88" s="23"/>
      <c r="H88" s="23"/>
      <c r="I88" s="23"/>
    </row>
    <row r="89" spans="2:9" x14ac:dyDescent="0.25">
      <c r="B89" s="23"/>
      <c r="C89" s="23"/>
      <c r="D89" s="23"/>
      <c r="E89" s="23"/>
      <c r="F89" s="23"/>
      <c r="G89" s="23"/>
      <c r="H89" s="23"/>
      <c r="I89" s="23"/>
    </row>
    <row r="90" spans="2:9" x14ac:dyDescent="0.25">
      <c r="B90" s="23"/>
      <c r="C90" s="23"/>
      <c r="D90" s="23"/>
      <c r="E90" s="23"/>
      <c r="F90" s="23"/>
      <c r="G90" s="23"/>
      <c r="H90" s="23"/>
      <c r="I90" s="23"/>
    </row>
    <row r="91" spans="2:9" x14ac:dyDescent="0.25">
      <c r="B91" s="23"/>
      <c r="C91" s="23"/>
      <c r="D91" s="23"/>
      <c r="E91" s="23"/>
      <c r="F91" s="23"/>
      <c r="G91" s="23"/>
      <c r="H91" s="23"/>
      <c r="I91" s="23"/>
    </row>
    <row r="92" spans="2:9" x14ac:dyDescent="0.25">
      <c r="B92" s="23"/>
      <c r="C92" s="23"/>
      <c r="D92" s="23"/>
      <c r="E92" s="23"/>
      <c r="F92" s="23"/>
      <c r="G92" s="23"/>
      <c r="H92" s="23"/>
      <c r="I92" s="23"/>
    </row>
    <row r="93" spans="2:9" x14ac:dyDescent="0.25">
      <c r="B93" s="23"/>
      <c r="C93" s="23"/>
      <c r="D93" s="23"/>
      <c r="E93" s="23"/>
      <c r="F93" s="23"/>
      <c r="G93" s="23"/>
      <c r="H93" s="23"/>
      <c r="I93" s="23"/>
    </row>
    <row r="94" spans="2:9" x14ac:dyDescent="0.25">
      <c r="B94" s="23"/>
      <c r="C94" s="23"/>
      <c r="D94" s="23"/>
      <c r="E94" s="23"/>
      <c r="F94" s="23"/>
      <c r="G94" s="23"/>
      <c r="H94" s="23"/>
      <c r="I94" s="23"/>
    </row>
    <row r="95" spans="2:9" x14ac:dyDescent="0.25">
      <c r="B95" s="23"/>
      <c r="C95" s="23"/>
      <c r="D95" s="23"/>
      <c r="E95" s="23"/>
      <c r="F95" s="23"/>
      <c r="G95" s="23"/>
      <c r="H95" s="23"/>
      <c r="I95" s="23"/>
    </row>
    <row r="96" spans="2:9" x14ac:dyDescent="0.25">
      <c r="B96" s="23"/>
      <c r="C96" s="23"/>
      <c r="D96" s="23"/>
      <c r="E96" s="23"/>
      <c r="F96" s="23"/>
      <c r="G96" s="23"/>
      <c r="H96" s="23"/>
      <c r="I96" s="23"/>
    </row>
    <row r="97" spans="2:9" x14ac:dyDescent="0.25">
      <c r="B97" s="23"/>
      <c r="C97" s="23"/>
      <c r="D97" s="23"/>
      <c r="E97" s="23"/>
      <c r="F97" s="23"/>
      <c r="G97" s="23"/>
      <c r="H97" s="23"/>
      <c r="I97" s="23"/>
    </row>
    <row r="98" spans="2:9" x14ac:dyDescent="0.25">
      <c r="B98" s="23"/>
      <c r="C98" s="23"/>
      <c r="D98" s="23"/>
      <c r="E98" s="23"/>
      <c r="F98" s="23"/>
      <c r="G98" s="23"/>
      <c r="H98" s="23"/>
      <c r="I98" s="23"/>
    </row>
    <row r="99" spans="2:9" x14ac:dyDescent="0.25">
      <c r="B99" s="23"/>
      <c r="C99" s="23"/>
      <c r="D99" s="23"/>
      <c r="E99" s="23"/>
      <c r="F99" s="23"/>
      <c r="G99" s="23"/>
      <c r="H99" s="23"/>
      <c r="I99" s="23"/>
    </row>
    <row r="100" spans="2:9" x14ac:dyDescent="0.25">
      <c r="B100" s="23"/>
      <c r="C100" s="23"/>
      <c r="D100" s="23"/>
      <c r="E100" s="23"/>
      <c r="F100" s="23"/>
      <c r="G100" s="23"/>
      <c r="H100" s="23"/>
      <c r="I100" s="23"/>
    </row>
    <row r="101" spans="2:9" x14ac:dyDescent="0.25">
      <c r="B101" s="23"/>
      <c r="C101" s="23"/>
      <c r="D101" s="23"/>
      <c r="E101" s="23"/>
      <c r="F101" s="23"/>
      <c r="G101" s="23"/>
      <c r="H101" s="23"/>
      <c r="I101" s="23"/>
    </row>
    <row r="102" spans="2:9" x14ac:dyDescent="0.25">
      <c r="B102" s="23"/>
      <c r="C102" s="23"/>
      <c r="D102" s="23"/>
      <c r="E102" s="23"/>
      <c r="F102" s="23"/>
      <c r="G102" s="23"/>
      <c r="H102" s="23"/>
      <c r="I102" s="23"/>
    </row>
    <row r="103" spans="2:9" x14ac:dyDescent="0.25">
      <c r="B103" s="23"/>
      <c r="C103" s="23"/>
      <c r="D103" s="23"/>
      <c r="E103" s="23"/>
      <c r="F103" s="23"/>
      <c r="G103" s="23"/>
      <c r="H103" s="23"/>
      <c r="I103" s="23"/>
    </row>
    <row r="104" spans="2:9" x14ac:dyDescent="0.25">
      <c r="B104" s="23"/>
      <c r="C104" s="23"/>
      <c r="D104" s="23"/>
      <c r="E104" s="23"/>
      <c r="F104" s="23"/>
      <c r="G104" s="23"/>
      <c r="H104" s="23"/>
      <c r="I104" s="23"/>
    </row>
    <row r="105" spans="2:9" x14ac:dyDescent="0.25">
      <c r="B105" s="23"/>
      <c r="C105" s="23"/>
      <c r="D105" s="23"/>
      <c r="E105" s="23"/>
      <c r="F105" s="23"/>
      <c r="G105" s="23"/>
      <c r="H105" s="23"/>
      <c r="I105" s="23"/>
    </row>
    <row r="106" spans="2:9" x14ac:dyDescent="0.25">
      <c r="B106" s="23"/>
      <c r="C106" s="23"/>
      <c r="D106" s="23"/>
      <c r="E106" s="23"/>
      <c r="F106" s="23"/>
      <c r="G106" s="23"/>
      <c r="H106" s="23"/>
      <c r="I106" s="23"/>
    </row>
    <row r="107" spans="2:9" x14ac:dyDescent="0.25">
      <c r="B107" s="23"/>
      <c r="C107" s="23"/>
      <c r="D107" s="23"/>
      <c r="E107" s="23"/>
      <c r="F107" s="23"/>
      <c r="G107" s="23"/>
      <c r="H107" s="23"/>
      <c r="I107" s="23"/>
    </row>
    <row r="108" spans="2:9" x14ac:dyDescent="0.25">
      <c r="B108" s="23"/>
      <c r="C108" s="23"/>
      <c r="D108" s="23"/>
      <c r="E108" s="23"/>
      <c r="F108" s="23"/>
      <c r="G108" s="23"/>
      <c r="H108" s="23"/>
      <c r="I108" s="23"/>
    </row>
    <row r="109" spans="2:9" x14ac:dyDescent="0.25">
      <c r="B109" s="23"/>
      <c r="C109" s="23"/>
      <c r="D109" s="23"/>
      <c r="E109" s="23"/>
      <c r="F109" s="23"/>
      <c r="G109" s="23"/>
      <c r="H109" s="23"/>
      <c r="I109" s="23"/>
    </row>
    <row r="110" spans="2:9" x14ac:dyDescent="0.25">
      <c r="B110" s="23"/>
      <c r="C110" s="23"/>
      <c r="D110" s="23"/>
      <c r="E110" s="23"/>
      <c r="F110" s="23"/>
      <c r="G110" s="23"/>
      <c r="H110" s="23"/>
      <c r="I110" s="23"/>
    </row>
    <row r="111" spans="2:9" x14ac:dyDescent="0.25">
      <c r="B111" s="23"/>
      <c r="C111" s="23"/>
      <c r="D111" s="23"/>
      <c r="E111" s="23"/>
      <c r="F111" s="23"/>
      <c r="G111" s="23"/>
      <c r="H111" s="23"/>
      <c r="I111" s="23"/>
    </row>
    <row r="112" spans="2:9" x14ac:dyDescent="0.25">
      <c r="B112" s="23"/>
      <c r="C112" s="23"/>
      <c r="D112" s="23"/>
      <c r="E112" s="23"/>
      <c r="F112" s="23"/>
      <c r="G112" s="23"/>
      <c r="H112" s="23"/>
      <c r="I112" s="23"/>
    </row>
    <row r="113" spans="2:9" x14ac:dyDescent="0.25">
      <c r="B113" s="23"/>
      <c r="C113" s="23"/>
      <c r="D113" s="23"/>
      <c r="E113" s="23"/>
      <c r="F113" s="23"/>
      <c r="G113" s="23"/>
      <c r="H113" s="23"/>
      <c r="I113" s="23"/>
    </row>
    <row r="114" spans="2:9" x14ac:dyDescent="0.25">
      <c r="B114" s="23"/>
      <c r="C114" s="23"/>
      <c r="D114" s="23"/>
      <c r="E114" s="23"/>
      <c r="F114" s="23"/>
      <c r="G114" s="23"/>
      <c r="H114" s="23"/>
      <c r="I114" s="23"/>
    </row>
    <row r="115" spans="2:9" x14ac:dyDescent="0.25">
      <c r="B115" s="23"/>
      <c r="C115" s="23"/>
      <c r="D115" s="23"/>
      <c r="E115" s="23"/>
      <c r="F115" s="23"/>
      <c r="G115" s="23"/>
      <c r="H115" s="23"/>
      <c r="I115" s="23"/>
    </row>
    <row r="116" spans="2:9" x14ac:dyDescent="0.25">
      <c r="B116" s="23"/>
      <c r="C116" s="23"/>
      <c r="D116" s="23"/>
      <c r="E116" s="23"/>
      <c r="F116" s="23"/>
      <c r="G116" s="23"/>
      <c r="H116" s="23"/>
      <c r="I116" s="23"/>
    </row>
    <row r="117" spans="2:9" x14ac:dyDescent="0.25">
      <c r="B117" s="23"/>
      <c r="C117" s="23"/>
      <c r="D117" s="23"/>
      <c r="E117" s="23"/>
      <c r="F117" s="23"/>
      <c r="G117" s="23"/>
      <c r="H117" s="23"/>
      <c r="I117" s="23"/>
    </row>
    <row r="118" spans="2:9" x14ac:dyDescent="0.25">
      <c r="B118" s="23"/>
      <c r="C118" s="23"/>
      <c r="D118" s="23"/>
      <c r="E118" s="23"/>
      <c r="F118" s="23"/>
      <c r="G118" s="23"/>
      <c r="H118" s="23"/>
      <c r="I118" s="23"/>
    </row>
    <row r="119" spans="2:9" x14ac:dyDescent="0.25">
      <c r="B119" s="23"/>
      <c r="C119" s="23"/>
      <c r="D119" s="23"/>
      <c r="E119" s="23"/>
      <c r="F119" s="23"/>
      <c r="G119" s="23"/>
      <c r="H119" s="23"/>
      <c r="I119" s="23"/>
    </row>
    <row r="120" spans="2:9" x14ac:dyDescent="0.25">
      <c r="B120" s="23"/>
      <c r="C120" s="23"/>
      <c r="D120" s="23"/>
      <c r="E120" s="23"/>
      <c r="F120" s="23"/>
      <c r="G120" s="23"/>
      <c r="H120" s="23"/>
      <c r="I120" s="23"/>
    </row>
    <row r="121" spans="2:9" x14ac:dyDescent="0.25">
      <c r="B121" s="23"/>
      <c r="C121" s="23"/>
      <c r="D121" s="23"/>
      <c r="E121" s="23"/>
      <c r="F121" s="23"/>
      <c r="G121" s="23"/>
      <c r="H121" s="23"/>
      <c r="I121" s="23"/>
    </row>
    <row r="122" spans="2:9" x14ac:dyDescent="0.25">
      <c r="B122" s="23"/>
      <c r="C122" s="23"/>
      <c r="D122" s="23"/>
      <c r="E122" s="23"/>
      <c r="F122" s="23"/>
      <c r="G122" s="23"/>
      <c r="H122" s="23"/>
      <c r="I122" s="23"/>
    </row>
    <row r="123" spans="2:9" x14ac:dyDescent="0.25">
      <c r="B123" s="23"/>
      <c r="C123" s="23"/>
      <c r="D123" s="23"/>
      <c r="E123" s="23"/>
      <c r="F123" s="23"/>
      <c r="G123" s="23"/>
      <c r="H123" s="23"/>
      <c r="I123" s="23"/>
    </row>
    <row r="124" spans="2:9" x14ac:dyDescent="0.25">
      <c r="B124" s="23"/>
      <c r="C124" s="23"/>
      <c r="D124" s="23"/>
      <c r="E124" s="23"/>
      <c r="F124" s="23"/>
      <c r="G124" s="23"/>
      <c r="H124" s="23"/>
      <c r="I124" s="23"/>
    </row>
    <row r="125" spans="2:9" x14ac:dyDescent="0.25">
      <c r="B125" s="23"/>
      <c r="C125" s="23"/>
      <c r="D125" s="23"/>
      <c r="E125" s="23"/>
      <c r="F125" s="23"/>
      <c r="G125" s="23"/>
      <c r="H125" s="23"/>
      <c r="I125" s="23"/>
    </row>
    <row r="126" spans="2:9" x14ac:dyDescent="0.25">
      <c r="B126" s="23"/>
      <c r="C126" s="23"/>
      <c r="D126" s="23"/>
      <c r="E126" s="23"/>
      <c r="F126" s="23"/>
      <c r="G126" s="23"/>
      <c r="H126" s="23"/>
      <c r="I126" s="23"/>
    </row>
    <row r="127" spans="2:9" x14ac:dyDescent="0.25">
      <c r="B127" s="23"/>
      <c r="C127" s="23"/>
      <c r="D127" s="23"/>
      <c r="E127" s="23"/>
      <c r="F127" s="23"/>
      <c r="G127" s="23"/>
      <c r="H127" s="23"/>
      <c r="I127" s="23"/>
    </row>
    <row r="128" spans="2:9" x14ac:dyDescent="0.25">
      <c r="B128" s="23"/>
      <c r="C128" s="23"/>
      <c r="D128" s="23"/>
      <c r="E128" s="23"/>
      <c r="F128" s="23"/>
      <c r="G128" s="23"/>
      <c r="H128" s="23"/>
      <c r="I128" s="23"/>
    </row>
    <row r="129" spans="2:9" x14ac:dyDescent="0.25">
      <c r="B129" s="23"/>
      <c r="C129" s="23"/>
      <c r="D129" s="23"/>
      <c r="E129" s="23"/>
      <c r="F129" s="23"/>
      <c r="G129" s="23"/>
      <c r="H129" s="23"/>
      <c r="I129" s="23"/>
    </row>
    <row r="130" spans="2:9" x14ac:dyDescent="0.25">
      <c r="B130" s="23"/>
      <c r="C130" s="23"/>
      <c r="D130" s="23"/>
      <c r="E130" s="23"/>
      <c r="F130" s="23"/>
      <c r="G130" s="23"/>
      <c r="H130" s="23"/>
      <c r="I130" s="23"/>
    </row>
    <row r="131" spans="2:9" x14ac:dyDescent="0.25">
      <c r="B131" s="23"/>
      <c r="C131" s="23"/>
      <c r="D131" s="23"/>
      <c r="E131" s="23"/>
      <c r="F131" s="23"/>
      <c r="G131" s="23"/>
      <c r="H131" s="23"/>
      <c r="I131" s="23"/>
    </row>
    <row r="132" spans="2:9" x14ac:dyDescent="0.25">
      <c r="B132" s="23"/>
      <c r="C132" s="23"/>
      <c r="D132" s="23"/>
      <c r="E132" s="23"/>
      <c r="F132" s="23"/>
      <c r="G132" s="23"/>
      <c r="H132" s="23"/>
      <c r="I132" s="23"/>
    </row>
    <row r="133" spans="2:9" x14ac:dyDescent="0.25">
      <c r="B133" s="23"/>
      <c r="C133" s="23"/>
      <c r="D133" s="23"/>
      <c r="E133" s="23"/>
      <c r="F133" s="23"/>
      <c r="G133" s="23"/>
      <c r="H133" s="23"/>
      <c r="I133" s="23"/>
    </row>
    <row r="134" spans="2:9" x14ac:dyDescent="0.25">
      <c r="B134" s="23"/>
      <c r="C134" s="23"/>
      <c r="D134" s="23"/>
      <c r="E134" s="23"/>
      <c r="F134" s="23"/>
      <c r="G134" s="23"/>
      <c r="H134" s="23"/>
      <c r="I134" s="23"/>
    </row>
    <row r="135" spans="2:9" x14ac:dyDescent="0.25">
      <c r="B135" s="23"/>
      <c r="C135" s="23"/>
      <c r="D135" s="23"/>
      <c r="E135" s="23"/>
      <c r="F135" s="23"/>
      <c r="G135" s="23"/>
      <c r="H135" s="23"/>
      <c r="I135" s="23"/>
    </row>
    <row r="136" spans="2:9" x14ac:dyDescent="0.25">
      <c r="B136" s="23"/>
      <c r="C136" s="23"/>
      <c r="D136" s="23"/>
      <c r="E136" s="23"/>
      <c r="F136" s="23"/>
      <c r="G136" s="23"/>
      <c r="H136" s="23"/>
      <c r="I136" s="23"/>
    </row>
    <row r="137" spans="2:9" x14ac:dyDescent="0.25">
      <c r="B137" s="23"/>
      <c r="C137" s="23"/>
      <c r="D137" s="23"/>
      <c r="E137" s="23"/>
      <c r="F137" s="23"/>
      <c r="G137" s="23"/>
      <c r="H137" s="23"/>
      <c r="I137" s="23"/>
    </row>
    <row r="138" spans="2:9" x14ac:dyDescent="0.25">
      <c r="B138" s="23"/>
      <c r="C138" s="23"/>
      <c r="D138" s="23"/>
      <c r="E138" s="23"/>
      <c r="F138" s="23"/>
      <c r="G138" s="23"/>
      <c r="H138" s="23"/>
      <c r="I138" s="23"/>
    </row>
    <row r="139" spans="2:9" x14ac:dyDescent="0.25">
      <c r="B139" s="23"/>
      <c r="C139" s="23"/>
      <c r="D139" s="23"/>
      <c r="E139" s="23"/>
      <c r="F139" s="23"/>
      <c r="G139" s="23"/>
      <c r="H139" s="23"/>
      <c r="I139" s="23"/>
    </row>
    <row r="140" spans="2:9" x14ac:dyDescent="0.25">
      <c r="B140" s="23"/>
      <c r="C140" s="23"/>
      <c r="D140" s="23"/>
      <c r="E140" s="23"/>
      <c r="F140" s="23"/>
      <c r="G140" s="23"/>
      <c r="H140" s="23"/>
      <c r="I140" s="23"/>
    </row>
    <row r="141" spans="2:9" x14ac:dyDescent="0.25">
      <c r="B141" s="23"/>
      <c r="C141" s="23"/>
      <c r="D141" s="23"/>
      <c r="E141" s="23"/>
      <c r="F141" s="23"/>
      <c r="G141" s="23"/>
      <c r="H141" s="23"/>
      <c r="I141" s="23"/>
    </row>
    <row r="142" spans="2:9" x14ac:dyDescent="0.25">
      <c r="B142" s="23"/>
      <c r="C142" s="23"/>
      <c r="D142" s="23"/>
      <c r="E142" s="23"/>
      <c r="F142" s="23"/>
      <c r="G142" s="23"/>
      <c r="H142" s="23"/>
      <c r="I142" s="23"/>
    </row>
    <row r="143" spans="2:9" x14ac:dyDescent="0.25">
      <c r="B143" s="23"/>
      <c r="C143" s="23"/>
      <c r="D143" s="23"/>
      <c r="E143" s="23"/>
      <c r="F143" s="23"/>
      <c r="G143" s="23"/>
      <c r="H143" s="23"/>
      <c r="I143" s="23"/>
    </row>
    <row r="144" spans="2:9" x14ac:dyDescent="0.25">
      <c r="B144" s="23"/>
      <c r="C144" s="23"/>
      <c r="D144" s="23"/>
      <c r="E144" s="23"/>
      <c r="F144" s="23"/>
      <c r="G144" s="23"/>
      <c r="H144" s="23"/>
      <c r="I144" s="23"/>
    </row>
    <row r="145" spans="2:9" x14ac:dyDescent="0.25">
      <c r="B145" s="23"/>
      <c r="C145" s="23"/>
      <c r="D145" s="23"/>
      <c r="E145" s="23"/>
      <c r="F145" s="23"/>
      <c r="G145" s="23"/>
      <c r="H145" s="23"/>
      <c r="I145" s="23"/>
    </row>
    <row r="146" spans="2:9" x14ac:dyDescent="0.25">
      <c r="B146" s="23"/>
      <c r="C146" s="23"/>
      <c r="D146" s="23"/>
      <c r="E146" s="23"/>
      <c r="F146" s="23"/>
      <c r="G146" s="23"/>
      <c r="H146" s="23"/>
      <c r="I146" s="23"/>
    </row>
    <row r="147" spans="2:9" x14ac:dyDescent="0.25">
      <c r="B147" s="23"/>
      <c r="C147" s="23"/>
      <c r="D147" s="23"/>
      <c r="E147" s="23"/>
      <c r="F147" s="23"/>
      <c r="G147" s="23"/>
      <c r="H147" s="23"/>
      <c r="I147" s="23"/>
    </row>
    <row r="148" spans="2:9" x14ac:dyDescent="0.25">
      <c r="B148" s="23"/>
      <c r="C148" s="23"/>
      <c r="D148" s="23"/>
      <c r="E148" s="23"/>
      <c r="F148" s="23"/>
      <c r="G148" s="23"/>
      <c r="H148" s="23"/>
      <c r="I148" s="23"/>
    </row>
    <row r="149" spans="2:9" x14ac:dyDescent="0.25">
      <c r="B149" s="23"/>
      <c r="C149" s="23"/>
      <c r="D149" s="23"/>
      <c r="E149" s="23"/>
      <c r="F149" s="23"/>
      <c r="G149" s="23"/>
      <c r="H149" s="23"/>
      <c r="I149" s="23"/>
    </row>
    <row r="150" spans="2:9" x14ac:dyDescent="0.25">
      <c r="B150" s="23"/>
      <c r="C150" s="23"/>
      <c r="D150" s="23"/>
      <c r="E150" s="23"/>
      <c r="F150" s="23"/>
      <c r="G150" s="23"/>
      <c r="H150" s="23"/>
      <c r="I150" s="23"/>
    </row>
  </sheetData>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A1CABE32-4316-4284-BE4D-5BF760C161F3}">
          <x14:formula1>
            <xm:f>'Variable et Dropdowns'!$C$2:$C$3</xm:f>
          </x14:formula1>
          <xm:sqref>C7:C8</xm:sqref>
        </x14:dataValidation>
        <x14:dataValidation type="list" allowBlank="1" showInputMessage="1" showErrorMessage="1" xr:uid="{476A5301-B55A-4461-A14E-239E57F5DF40}">
          <x14:formula1>
            <xm:f>'Variable et Dropdowns'!#REF!</xm:f>
          </x14:formula1>
          <xm:sqref>A5</xm:sqref>
        </x14:dataValidation>
        <x14:dataValidation type="list" allowBlank="1" showInputMessage="1" showErrorMessage="1" xr:uid="{FB43BC89-F557-4DCB-AC2B-2035BAF87E3A}">
          <x14:formula1>
            <xm:f>'Variable et Dropdowns'!$H$3:$H$23</xm:f>
          </x14:formula1>
          <xm:sqref>E11:E150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59999389629810485"/>
    <pageSetUpPr fitToPage="1"/>
  </sheetPr>
  <dimension ref="B1:I502"/>
  <sheetViews>
    <sheetView zoomScale="85" zoomScaleNormal="85" workbookViewId="0">
      <selection activeCell="B9" sqref="B9"/>
    </sheetView>
  </sheetViews>
  <sheetFormatPr defaultColWidth="9.140625" defaultRowHeight="15" x14ac:dyDescent="0.25"/>
  <cols>
    <col min="1" max="1" width="9.140625" style="2"/>
    <col min="2" max="2" width="20.85546875" style="2" customWidth="1"/>
    <col min="3" max="3" width="120.28515625" style="2" bestFit="1" customWidth="1"/>
    <col min="4" max="4" width="21.7109375" style="378" customWidth="1"/>
    <col min="5" max="5" width="46.140625" style="2" bestFit="1" customWidth="1"/>
    <col min="6" max="6" width="75.42578125" style="2" hidden="1" customWidth="1"/>
    <col min="7" max="7" width="15.28515625" style="2" customWidth="1"/>
    <col min="8" max="16384" width="9.140625" style="2"/>
  </cols>
  <sheetData>
    <row r="1" spans="2:9" x14ac:dyDescent="0.25">
      <c r="B1" s="11" t="str">
        <f>'Informations générales 1'!B7</f>
        <v>DECOMPTE ANNUEL</v>
      </c>
    </row>
    <row r="2" spans="2:9" x14ac:dyDescent="0.25">
      <c r="B2" s="11" t="str">
        <f>'Informations générales 1'!C20&amp;" - "&amp;'Informations générales 1'!C24</f>
        <v>Nom Gestionnaire - Nom SEA</v>
      </c>
    </row>
    <row r="3" spans="2:9" x14ac:dyDescent="0.25">
      <c r="B3" s="19">
        <f>'Informations générales 1'!C10</f>
        <v>2024</v>
      </c>
    </row>
    <row r="5" spans="2:9" x14ac:dyDescent="0.25">
      <c r="B5" s="11" t="str">
        <f>"DETAIL DES FRAIS DE FONCTIONNEMENT POUR "&amp;'Informations générales 1'!C10</f>
        <v>DETAIL DES FRAIS DE FONCTIONNEMENT POUR 2024</v>
      </c>
    </row>
    <row r="6" spans="2:9" x14ac:dyDescent="0.25">
      <c r="B6" s="11"/>
      <c r="C6" s="241" t="s">
        <v>313</v>
      </c>
      <c r="D6" s="379">
        <f>SUM(Fonctionnement[Montant])</f>
        <v>0</v>
      </c>
    </row>
    <row r="7" spans="2:9" x14ac:dyDescent="0.25">
      <c r="C7" s="241" t="s">
        <v>392</v>
      </c>
      <c r="D7" s="379">
        <f>Fonctionnement[[#Totals],[Montant]]</f>
        <v>0</v>
      </c>
    </row>
    <row r="8" spans="2:9" x14ac:dyDescent="0.25">
      <c r="B8" s="28" t="s">
        <v>88</v>
      </c>
      <c r="C8" s="28" t="s">
        <v>89</v>
      </c>
      <c r="D8" s="380" t="s">
        <v>90</v>
      </c>
      <c r="E8" s="28" t="s">
        <v>91</v>
      </c>
      <c r="F8" s="28" t="s">
        <v>349</v>
      </c>
      <c r="G8" s="28" t="s">
        <v>92</v>
      </c>
    </row>
    <row r="9" spans="2:9" x14ac:dyDescent="0.25">
      <c r="B9" s="8"/>
      <c r="C9" s="8"/>
      <c r="D9" s="381"/>
      <c r="E9" s="243"/>
      <c r="F9" s="243"/>
      <c r="G9" s="244"/>
      <c r="I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&amp;UPPER(Fonctionnement[[#Headers],[Montant]]),IF(Fonctionnement[[#This Row],[Allocation]]="","&lt;--ATTENTION: Sans allocation les frais ne seront pas prisen en compte","")))))</f>
        <v/>
      </c>
    </row>
    <row r="10" spans="2:9" x14ac:dyDescent="0.25">
      <c r="B10" s="8"/>
      <c r="C10" s="8"/>
      <c r="D10" s="381"/>
      <c r="E10" s="243"/>
      <c r="F10" s="243"/>
      <c r="G10" s="244"/>
      <c r="I1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 spans="2:9" x14ac:dyDescent="0.25">
      <c r="B11" s="8"/>
      <c r="C11" s="8"/>
      <c r="D11" s="381"/>
      <c r="E11" s="243"/>
      <c r="F11" s="243"/>
      <c r="G11" s="244"/>
      <c r="I1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 spans="2:9" x14ac:dyDescent="0.25">
      <c r="B12" s="8"/>
      <c r="C12" s="8"/>
      <c r="D12" s="381"/>
      <c r="E12" s="243"/>
      <c r="F12" s="243"/>
      <c r="G12" s="244"/>
      <c r="I1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 spans="2:9" x14ac:dyDescent="0.25">
      <c r="B13" s="8"/>
      <c r="C13" s="8"/>
      <c r="D13" s="381"/>
      <c r="E13" s="243"/>
      <c r="F13" s="243"/>
      <c r="G13" s="244"/>
      <c r="I1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 spans="2:9" x14ac:dyDescent="0.25">
      <c r="B14" s="8"/>
      <c r="C14" s="8"/>
      <c r="D14" s="381"/>
      <c r="E14" s="243"/>
      <c r="F14" s="243"/>
      <c r="G14" s="244"/>
      <c r="I1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 spans="2:9" x14ac:dyDescent="0.25">
      <c r="B15" s="8"/>
      <c r="C15" s="8"/>
      <c r="D15" s="381"/>
      <c r="E15" s="243"/>
      <c r="F15" s="243"/>
      <c r="G15" s="244"/>
      <c r="I1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 spans="2:9" x14ac:dyDescent="0.25">
      <c r="B16" s="8"/>
      <c r="C16" s="8"/>
      <c r="D16" s="381"/>
      <c r="E16" s="243"/>
      <c r="F16" s="243"/>
      <c r="G16" s="244"/>
      <c r="I1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 spans="2:9" x14ac:dyDescent="0.25">
      <c r="B17" s="8"/>
      <c r="C17" s="8"/>
      <c r="D17" s="381"/>
      <c r="E17" s="243"/>
      <c r="F17" s="243"/>
      <c r="G17" s="244"/>
      <c r="I1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 spans="2:9" x14ac:dyDescent="0.25">
      <c r="B18" s="8"/>
      <c r="C18" s="8"/>
      <c r="D18" s="381"/>
      <c r="E18" s="243"/>
      <c r="F18" s="243"/>
      <c r="G18" s="244"/>
      <c r="I1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 spans="2:9" x14ac:dyDescent="0.25">
      <c r="B19" s="8"/>
      <c r="C19" s="8"/>
      <c r="D19" s="381"/>
      <c r="E19" s="243"/>
      <c r="F19" s="243"/>
      <c r="G19" s="244"/>
      <c r="I1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 spans="2:9" x14ac:dyDescent="0.25">
      <c r="B20" s="8"/>
      <c r="C20" s="8"/>
      <c r="D20" s="381"/>
      <c r="E20" s="243"/>
      <c r="F20" s="243"/>
      <c r="G20" s="244"/>
      <c r="I2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 spans="2:9" x14ac:dyDescent="0.25">
      <c r="B21" s="8"/>
      <c r="C21" s="8"/>
      <c r="D21" s="381"/>
      <c r="E21" s="243"/>
      <c r="F21" s="243"/>
      <c r="G21" s="244"/>
      <c r="I2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 spans="2:9" x14ac:dyDescent="0.25">
      <c r="B22" s="8"/>
      <c r="C22" s="8"/>
      <c r="D22" s="381"/>
      <c r="E22" s="243"/>
      <c r="F22" s="243"/>
      <c r="G22" s="244"/>
      <c r="I2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 spans="2:9" x14ac:dyDescent="0.25">
      <c r="B23" s="8"/>
      <c r="C23" s="8"/>
      <c r="D23" s="381"/>
      <c r="E23" s="243"/>
      <c r="F23" s="243"/>
      <c r="G23" s="244"/>
      <c r="I2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 spans="2:9" x14ac:dyDescent="0.25">
      <c r="B24" s="8"/>
      <c r="C24" s="8"/>
      <c r="D24" s="381"/>
      <c r="E24" s="243"/>
      <c r="F24" s="243"/>
      <c r="G24" s="244"/>
      <c r="I2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 spans="2:9" x14ac:dyDescent="0.25">
      <c r="B25" s="8"/>
      <c r="C25" s="8"/>
      <c r="D25" s="381"/>
      <c r="E25" s="243"/>
      <c r="F25" s="243"/>
      <c r="G25" s="244"/>
      <c r="I2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 spans="2:9" x14ac:dyDescent="0.25">
      <c r="B26" s="8"/>
      <c r="C26" s="8"/>
      <c r="D26" s="381"/>
      <c r="E26" s="243"/>
      <c r="F26" s="243"/>
      <c r="G26" s="244"/>
      <c r="I2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 spans="2:9" x14ac:dyDescent="0.25">
      <c r="B27" s="8"/>
      <c r="C27" s="8"/>
      <c r="D27" s="381"/>
      <c r="E27" s="243"/>
      <c r="F27" s="243"/>
      <c r="G27" s="244"/>
      <c r="I2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 spans="2:9" x14ac:dyDescent="0.25">
      <c r="B28" s="8"/>
      <c r="C28" s="8"/>
      <c r="D28" s="381"/>
      <c r="E28" s="243"/>
      <c r="F28" s="243"/>
      <c r="G28" s="244"/>
      <c r="I2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 spans="2:9" x14ac:dyDescent="0.25">
      <c r="B29" s="8"/>
      <c r="C29" s="8"/>
      <c r="D29" s="381"/>
      <c r="E29" s="243"/>
      <c r="F29" s="243"/>
      <c r="G29" s="244"/>
      <c r="I2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 spans="2:9" x14ac:dyDescent="0.25">
      <c r="B30" s="8"/>
      <c r="C30" s="8"/>
      <c r="D30" s="381"/>
      <c r="E30" s="243"/>
      <c r="F30" s="243"/>
      <c r="G30" s="244"/>
      <c r="I3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 spans="2:9" x14ac:dyDescent="0.25">
      <c r="B31" s="8"/>
      <c r="C31" s="8"/>
      <c r="D31" s="381"/>
      <c r="E31" s="243"/>
      <c r="F31" s="243"/>
      <c r="G31" s="244"/>
      <c r="I3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 spans="2:9" x14ac:dyDescent="0.25">
      <c r="B32" s="8"/>
      <c r="C32" s="8"/>
      <c r="D32" s="381"/>
      <c r="E32" s="243"/>
      <c r="F32" s="243"/>
      <c r="G32" s="244"/>
      <c r="I3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 spans="2:9" x14ac:dyDescent="0.25">
      <c r="B33" s="8"/>
      <c r="C33" s="8"/>
      <c r="D33" s="381"/>
      <c r="E33" s="243"/>
      <c r="F33" s="243"/>
      <c r="G33" s="244"/>
      <c r="I3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 spans="2:9" x14ac:dyDescent="0.25">
      <c r="B34" s="8"/>
      <c r="C34" s="8"/>
      <c r="D34" s="381"/>
      <c r="E34" s="243"/>
      <c r="F34" s="243"/>
      <c r="G34" s="244"/>
      <c r="I3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 spans="2:9" x14ac:dyDescent="0.25">
      <c r="B35" s="8"/>
      <c r="C35" s="8"/>
      <c r="D35" s="381"/>
      <c r="E35" s="243"/>
      <c r="F35" s="243"/>
      <c r="G35" s="244"/>
      <c r="I3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 spans="2:9" x14ac:dyDescent="0.25">
      <c r="B36" s="8"/>
      <c r="C36" s="8"/>
      <c r="D36" s="381"/>
      <c r="E36" s="243"/>
      <c r="F36" s="243"/>
      <c r="G36" s="244"/>
      <c r="I3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 spans="2:9" x14ac:dyDescent="0.25">
      <c r="B37" s="8"/>
      <c r="C37" s="8"/>
      <c r="D37" s="381"/>
      <c r="E37" s="243"/>
      <c r="F37" s="243"/>
      <c r="G37" s="244"/>
      <c r="I3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 spans="2:9" x14ac:dyDescent="0.25">
      <c r="B38" s="8"/>
      <c r="C38" s="8"/>
      <c r="D38" s="381"/>
      <c r="E38" s="243"/>
      <c r="F38" s="243"/>
      <c r="G38" s="244"/>
      <c r="I3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 spans="2:9" x14ac:dyDescent="0.25">
      <c r="B39" s="8"/>
      <c r="C39" s="8"/>
      <c r="D39" s="381"/>
      <c r="E39" s="243"/>
      <c r="F39" s="243"/>
      <c r="G39" s="244"/>
      <c r="I3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 spans="2:9" x14ac:dyDescent="0.25">
      <c r="B40" s="8"/>
      <c r="C40" s="8"/>
      <c r="D40" s="381"/>
      <c r="E40" s="243"/>
      <c r="F40" s="243"/>
      <c r="G40" s="244"/>
      <c r="I4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 spans="2:9" x14ac:dyDescent="0.25">
      <c r="B41" s="8"/>
      <c r="C41" s="8"/>
      <c r="D41" s="381"/>
      <c r="E41" s="243"/>
      <c r="F41" s="243"/>
      <c r="G41" s="244"/>
      <c r="I4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 spans="2:9" x14ac:dyDescent="0.25">
      <c r="B42" s="8"/>
      <c r="C42" s="8"/>
      <c r="D42" s="381"/>
      <c r="E42" s="243"/>
      <c r="F42" s="243"/>
      <c r="G42" s="244"/>
      <c r="I4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 spans="2:9" x14ac:dyDescent="0.25">
      <c r="B43" s="8"/>
      <c r="C43" s="8"/>
      <c r="D43" s="381"/>
      <c r="E43" s="243"/>
      <c r="F43" s="243"/>
      <c r="G43" s="244"/>
      <c r="I4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 spans="2:9" x14ac:dyDescent="0.25">
      <c r="B44" s="8"/>
      <c r="C44" s="8"/>
      <c r="D44" s="381"/>
      <c r="E44" s="243"/>
      <c r="F44" s="243"/>
      <c r="G44" s="244"/>
      <c r="I4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 spans="2:9" x14ac:dyDescent="0.25">
      <c r="B45" s="8"/>
      <c r="C45" s="8"/>
      <c r="D45" s="381"/>
      <c r="E45" s="243"/>
      <c r="F45" s="243"/>
      <c r="G45" s="244"/>
      <c r="I4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 spans="2:9" x14ac:dyDescent="0.25">
      <c r="B46" s="8"/>
      <c r="C46" s="8"/>
      <c r="D46" s="381"/>
      <c r="E46" s="243"/>
      <c r="F46" s="243"/>
      <c r="G46" s="244"/>
      <c r="I4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 spans="2:9" x14ac:dyDescent="0.25">
      <c r="B47" s="8"/>
      <c r="C47" s="8"/>
      <c r="D47" s="381"/>
      <c r="E47" s="243"/>
      <c r="F47" s="243"/>
      <c r="G47" s="244"/>
      <c r="I4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 spans="2:9" x14ac:dyDescent="0.25">
      <c r="B48" s="8"/>
      <c r="C48" s="8"/>
      <c r="D48" s="381"/>
      <c r="E48" s="243"/>
      <c r="F48" s="243"/>
      <c r="G48" s="244"/>
      <c r="I4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 spans="2:9" x14ac:dyDescent="0.25">
      <c r="B49" s="8"/>
      <c r="C49" s="8"/>
      <c r="D49" s="381"/>
      <c r="E49" s="243"/>
      <c r="F49" s="243"/>
      <c r="G49" s="244"/>
      <c r="I4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0" spans="2:9" x14ac:dyDescent="0.25">
      <c r="B50" s="8"/>
      <c r="C50" s="8"/>
      <c r="D50" s="381"/>
      <c r="E50" s="243"/>
      <c r="F50" s="243"/>
      <c r="G50" s="244"/>
      <c r="I5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1" spans="2:9" x14ac:dyDescent="0.25">
      <c r="B51" s="8"/>
      <c r="C51" s="8"/>
      <c r="D51" s="381"/>
      <c r="E51" s="243"/>
      <c r="F51" s="243"/>
      <c r="G51" s="244"/>
      <c r="I5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2" spans="2:9" x14ac:dyDescent="0.25">
      <c r="B52" s="8"/>
      <c r="C52" s="8"/>
      <c r="D52" s="381"/>
      <c r="E52" s="243"/>
      <c r="F52" s="243"/>
      <c r="G52" s="244"/>
      <c r="I5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3" spans="2:9" x14ac:dyDescent="0.25">
      <c r="B53" s="8"/>
      <c r="C53" s="8"/>
      <c r="D53" s="381"/>
      <c r="E53" s="243"/>
      <c r="F53" s="243"/>
      <c r="G53" s="244"/>
      <c r="I5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4" spans="2:9" x14ac:dyDescent="0.25">
      <c r="B54" s="8"/>
      <c r="C54" s="8"/>
      <c r="D54" s="381"/>
      <c r="E54" s="243"/>
      <c r="F54" s="243"/>
      <c r="G54" s="244"/>
      <c r="I5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5" spans="2:9" x14ac:dyDescent="0.25">
      <c r="B55" s="8"/>
      <c r="C55" s="8"/>
      <c r="D55" s="381"/>
      <c r="E55" s="243"/>
      <c r="F55" s="243"/>
      <c r="G55" s="244"/>
      <c r="I5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6" spans="2:9" x14ac:dyDescent="0.25">
      <c r="B56" s="8"/>
      <c r="C56" s="8"/>
      <c r="D56" s="381"/>
      <c r="E56" s="243"/>
      <c r="F56" s="243"/>
      <c r="G56" s="244"/>
      <c r="I5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7" spans="2:9" x14ac:dyDescent="0.25">
      <c r="B57" s="8"/>
      <c r="C57" s="8"/>
      <c r="D57" s="381"/>
      <c r="E57" s="243"/>
      <c r="F57" s="243"/>
      <c r="G57" s="244"/>
      <c r="I5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8" spans="2:9" x14ac:dyDescent="0.25">
      <c r="B58" s="8"/>
      <c r="C58" s="8"/>
      <c r="D58" s="381"/>
      <c r="E58" s="243"/>
      <c r="F58" s="243"/>
      <c r="G58" s="244"/>
      <c r="I5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9" spans="2:9" x14ac:dyDescent="0.25">
      <c r="B59" s="8"/>
      <c r="C59" s="8"/>
      <c r="D59" s="381"/>
      <c r="E59" s="243"/>
      <c r="F59" s="243"/>
      <c r="G59" s="244"/>
      <c r="I5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0" spans="2:9" x14ac:dyDescent="0.25">
      <c r="B60" s="8"/>
      <c r="C60" s="8"/>
      <c r="D60" s="381"/>
      <c r="E60" s="243"/>
      <c r="F60" s="243"/>
      <c r="G60" s="244"/>
      <c r="I6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1" spans="2:9" x14ac:dyDescent="0.25">
      <c r="B61" s="8"/>
      <c r="C61" s="8"/>
      <c r="D61" s="381"/>
      <c r="E61" s="243"/>
      <c r="F61" s="243"/>
      <c r="G61" s="244"/>
      <c r="I6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2" spans="2:9" x14ac:dyDescent="0.25">
      <c r="B62" s="8"/>
      <c r="C62" s="8"/>
      <c r="D62" s="381"/>
      <c r="E62" s="243"/>
      <c r="F62" s="243"/>
      <c r="G62" s="244"/>
      <c r="I6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3" spans="2:9" x14ac:dyDescent="0.25">
      <c r="B63" s="8"/>
      <c r="C63" s="8"/>
      <c r="D63" s="381"/>
      <c r="E63" s="243"/>
      <c r="F63" s="243"/>
      <c r="G63" s="244"/>
      <c r="I6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4" spans="2:9" x14ac:dyDescent="0.25">
      <c r="B64" s="8"/>
      <c r="C64" s="8"/>
      <c r="D64" s="381"/>
      <c r="E64" s="243"/>
      <c r="F64" s="243"/>
      <c r="G64" s="244"/>
      <c r="I6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5" spans="2:9" x14ac:dyDescent="0.25">
      <c r="B65" s="8"/>
      <c r="C65" s="8"/>
      <c r="D65" s="381"/>
      <c r="E65" s="243"/>
      <c r="F65" s="243"/>
      <c r="G65" s="244"/>
      <c r="I6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6" spans="2:9" x14ac:dyDescent="0.25">
      <c r="B66" s="8"/>
      <c r="C66" s="8"/>
      <c r="D66" s="381"/>
      <c r="E66" s="243"/>
      <c r="F66" s="243"/>
      <c r="G66" s="244"/>
      <c r="I6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7" spans="2:9" x14ac:dyDescent="0.25">
      <c r="B67" s="8"/>
      <c r="C67" s="8"/>
      <c r="D67" s="381"/>
      <c r="E67" s="243"/>
      <c r="F67" s="243"/>
      <c r="G67" s="244"/>
      <c r="I6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8" spans="2:9" x14ac:dyDescent="0.25">
      <c r="B68" s="8"/>
      <c r="C68" s="8"/>
      <c r="D68" s="381"/>
      <c r="E68" s="243"/>
      <c r="F68" s="243"/>
      <c r="G68" s="244"/>
      <c r="I6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69" spans="2:9" x14ac:dyDescent="0.25">
      <c r="B69" s="8"/>
      <c r="C69" s="8"/>
      <c r="D69" s="381"/>
      <c r="E69" s="243"/>
      <c r="F69" s="243"/>
      <c r="G69" s="244"/>
      <c r="I6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0" spans="2:9" x14ac:dyDescent="0.25">
      <c r="B70" s="8"/>
      <c r="C70" s="8"/>
      <c r="D70" s="381"/>
      <c r="E70" s="243"/>
      <c r="F70" s="243"/>
      <c r="G70" s="244"/>
      <c r="I7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1" spans="2:9" x14ac:dyDescent="0.25">
      <c r="B71" s="8"/>
      <c r="C71" s="8"/>
      <c r="D71" s="381"/>
      <c r="E71" s="243"/>
      <c r="F71" s="243"/>
      <c r="G71" s="244"/>
      <c r="I7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2" spans="2:9" x14ac:dyDescent="0.25">
      <c r="B72" s="8"/>
      <c r="C72" s="8"/>
      <c r="D72" s="381"/>
      <c r="E72" s="243"/>
      <c r="F72" s="243"/>
      <c r="G72" s="244"/>
      <c r="I7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3" spans="2:9" x14ac:dyDescent="0.25">
      <c r="B73" s="8"/>
      <c r="C73" s="8"/>
      <c r="D73" s="381"/>
      <c r="E73" s="243"/>
      <c r="F73" s="243"/>
      <c r="G73" s="244"/>
      <c r="I7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4" spans="2:9" x14ac:dyDescent="0.25">
      <c r="B74" s="8"/>
      <c r="C74" s="8"/>
      <c r="D74" s="381"/>
      <c r="E74" s="243"/>
      <c r="F74" s="243"/>
      <c r="G74" s="244"/>
      <c r="I7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5" spans="2:9" x14ac:dyDescent="0.25">
      <c r="B75" s="8"/>
      <c r="C75" s="8"/>
      <c r="D75" s="381"/>
      <c r="E75" s="243"/>
      <c r="F75" s="243"/>
      <c r="G75" s="244"/>
      <c r="I7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6" spans="2:9" x14ac:dyDescent="0.25">
      <c r="B76" s="8"/>
      <c r="C76" s="8"/>
      <c r="D76" s="381"/>
      <c r="E76" s="243"/>
      <c r="F76" s="243"/>
      <c r="G76" s="244"/>
      <c r="I7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7" spans="2:9" x14ac:dyDescent="0.25">
      <c r="B77" s="8"/>
      <c r="C77" s="8"/>
      <c r="D77" s="381"/>
      <c r="E77" s="243"/>
      <c r="F77" s="243"/>
      <c r="G77" s="244"/>
      <c r="I7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8" spans="2:9" x14ac:dyDescent="0.25">
      <c r="B78" s="8"/>
      <c r="C78" s="8"/>
      <c r="D78" s="381"/>
      <c r="E78" s="243"/>
      <c r="F78" s="243"/>
      <c r="G78" s="244"/>
      <c r="I7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79" spans="2:9" x14ac:dyDescent="0.25">
      <c r="B79" s="8"/>
      <c r="C79" s="8"/>
      <c r="D79" s="381"/>
      <c r="E79" s="243"/>
      <c r="F79" s="243"/>
      <c r="G79" s="244"/>
      <c r="I7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0" spans="2:9" x14ac:dyDescent="0.25">
      <c r="B80" s="8"/>
      <c r="C80" s="8"/>
      <c r="D80" s="381"/>
      <c r="E80" s="243"/>
      <c r="F80" s="243"/>
      <c r="G80" s="244"/>
      <c r="I8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1" spans="2:9" x14ac:dyDescent="0.25">
      <c r="B81" s="8"/>
      <c r="C81" s="8"/>
      <c r="D81" s="381"/>
      <c r="E81" s="243"/>
      <c r="F81" s="243"/>
      <c r="G81" s="244"/>
      <c r="I8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2" spans="2:9" x14ac:dyDescent="0.25">
      <c r="B82" s="8"/>
      <c r="C82" s="8"/>
      <c r="D82" s="381"/>
      <c r="E82" s="243"/>
      <c r="F82" s="243"/>
      <c r="G82" s="244"/>
      <c r="I8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3" spans="2:9" x14ac:dyDescent="0.25">
      <c r="B83" s="8"/>
      <c r="C83" s="8"/>
      <c r="D83" s="381"/>
      <c r="E83" s="243"/>
      <c r="F83" s="243"/>
      <c r="G83" s="244"/>
      <c r="I8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4" spans="2:9" x14ac:dyDescent="0.25">
      <c r="B84" s="8"/>
      <c r="C84" s="8"/>
      <c r="D84" s="381"/>
      <c r="E84" s="243"/>
      <c r="F84" s="243"/>
      <c r="G84" s="244"/>
      <c r="I8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5" spans="2:9" x14ac:dyDescent="0.25">
      <c r="B85" s="8"/>
      <c r="C85" s="8"/>
      <c r="D85" s="381"/>
      <c r="E85" s="243"/>
      <c r="F85" s="243"/>
      <c r="G85" s="244"/>
      <c r="I8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6" spans="2:9" x14ac:dyDescent="0.25">
      <c r="B86" s="8"/>
      <c r="C86" s="8"/>
      <c r="D86" s="381"/>
      <c r="E86" s="243"/>
      <c r="F86" s="243"/>
      <c r="G86" s="244"/>
      <c r="I8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7" spans="2:9" x14ac:dyDescent="0.25">
      <c r="B87" s="8"/>
      <c r="C87" s="8"/>
      <c r="D87" s="381"/>
      <c r="E87" s="243"/>
      <c r="F87" s="243"/>
      <c r="G87" s="244"/>
      <c r="I8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8" spans="2:9" x14ac:dyDescent="0.25">
      <c r="B88" s="8"/>
      <c r="C88" s="8"/>
      <c r="D88" s="381"/>
      <c r="E88" s="243"/>
      <c r="F88" s="243"/>
      <c r="G88" s="244"/>
      <c r="I8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89" spans="2:9" x14ac:dyDescent="0.25">
      <c r="B89" s="8"/>
      <c r="C89" s="8"/>
      <c r="D89" s="381"/>
      <c r="E89" s="243"/>
      <c r="F89" s="243"/>
      <c r="G89" s="244"/>
      <c r="I8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0" spans="2:9" x14ac:dyDescent="0.25">
      <c r="B90" s="8"/>
      <c r="C90" s="8"/>
      <c r="D90" s="381"/>
      <c r="E90" s="243"/>
      <c r="F90" s="243"/>
      <c r="G90" s="244"/>
      <c r="I9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1" spans="2:9" x14ac:dyDescent="0.25">
      <c r="B91" s="8"/>
      <c r="C91" s="8"/>
      <c r="D91" s="381"/>
      <c r="E91" s="243"/>
      <c r="F91" s="243"/>
      <c r="G91" s="244"/>
      <c r="I9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2" spans="2:9" x14ac:dyDescent="0.25">
      <c r="B92" s="8"/>
      <c r="C92" s="8"/>
      <c r="D92" s="381"/>
      <c r="E92" s="243"/>
      <c r="F92" s="243"/>
      <c r="G92" s="244"/>
      <c r="I9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3" spans="2:9" x14ac:dyDescent="0.25">
      <c r="B93" s="8"/>
      <c r="C93" s="8"/>
      <c r="D93" s="381"/>
      <c r="E93" s="243"/>
      <c r="F93" s="243"/>
      <c r="G93" s="244"/>
      <c r="I9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4" spans="2:9" x14ac:dyDescent="0.25">
      <c r="B94" s="8"/>
      <c r="C94" s="8"/>
      <c r="D94" s="381"/>
      <c r="E94" s="243"/>
      <c r="F94" s="243"/>
      <c r="G94" s="244"/>
      <c r="I9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5" spans="2:9" x14ac:dyDescent="0.25">
      <c r="B95" s="8"/>
      <c r="C95" s="8"/>
      <c r="D95" s="381"/>
      <c r="E95" s="243"/>
      <c r="F95" s="243"/>
      <c r="G95" s="244"/>
      <c r="I9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6" spans="2:9" x14ac:dyDescent="0.25">
      <c r="B96" s="8"/>
      <c r="C96" s="8"/>
      <c r="D96" s="381"/>
      <c r="E96" s="243"/>
      <c r="F96" s="243"/>
      <c r="G96" s="244"/>
      <c r="I9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7" spans="2:9" x14ac:dyDescent="0.25">
      <c r="B97" s="8"/>
      <c r="C97" s="8"/>
      <c r="D97" s="381"/>
      <c r="E97" s="243"/>
      <c r="F97" s="243"/>
      <c r="G97" s="244"/>
      <c r="I9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8" spans="2:9" x14ac:dyDescent="0.25">
      <c r="B98" s="8"/>
      <c r="C98" s="8"/>
      <c r="D98" s="381"/>
      <c r="E98" s="243"/>
      <c r="F98" s="243"/>
      <c r="G98" s="244"/>
      <c r="I9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99" spans="2:9" x14ac:dyDescent="0.25">
      <c r="B99" s="8"/>
      <c r="C99" s="8"/>
      <c r="D99" s="381"/>
      <c r="E99" s="243"/>
      <c r="F99" s="243"/>
      <c r="G99" s="244"/>
      <c r="I9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0" spans="2:9" x14ac:dyDescent="0.25">
      <c r="B100" s="8"/>
      <c r="C100" s="8"/>
      <c r="D100" s="381"/>
      <c r="E100" s="243"/>
      <c r="F100" s="243"/>
      <c r="G100" s="244"/>
      <c r="I10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1" spans="2:9" x14ac:dyDescent="0.25">
      <c r="B101" s="8"/>
      <c r="C101" s="8"/>
      <c r="D101" s="381"/>
      <c r="E101" s="243"/>
      <c r="F101" s="243"/>
      <c r="G101" s="244"/>
      <c r="I10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2" spans="2:9" x14ac:dyDescent="0.25">
      <c r="B102" s="8"/>
      <c r="C102" s="8"/>
      <c r="D102" s="381"/>
      <c r="E102" s="243"/>
      <c r="F102" s="243"/>
      <c r="G102" s="244"/>
      <c r="I10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3" spans="2:9" x14ac:dyDescent="0.25">
      <c r="B103" s="8"/>
      <c r="C103" s="8"/>
      <c r="D103" s="381"/>
      <c r="E103" s="243"/>
      <c r="F103" s="243"/>
      <c r="G103" s="244"/>
      <c r="I10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4" spans="2:9" x14ac:dyDescent="0.25">
      <c r="B104" s="8"/>
      <c r="C104" s="8"/>
      <c r="D104" s="381"/>
      <c r="E104" s="243"/>
      <c r="F104" s="243"/>
      <c r="G104" s="244"/>
      <c r="I10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5" spans="2:9" x14ac:dyDescent="0.25">
      <c r="B105" s="8"/>
      <c r="C105" s="8"/>
      <c r="D105" s="381"/>
      <c r="E105" s="243"/>
      <c r="F105" s="243"/>
      <c r="G105" s="244"/>
      <c r="I10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6" spans="2:9" x14ac:dyDescent="0.25">
      <c r="B106" s="8"/>
      <c r="C106" s="8"/>
      <c r="D106" s="381"/>
      <c r="E106" s="243"/>
      <c r="F106" s="243"/>
      <c r="G106" s="244"/>
      <c r="I10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7" spans="2:9" x14ac:dyDescent="0.25">
      <c r="B107" s="8"/>
      <c r="C107" s="8"/>
      <c r="D107" s="381"/>
      <c r="E107" s="243"/>
      <c r="F107" s="243"/>
      <c r="G107" s="244"/>
      <c r="I10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8" spans="2:9" x14ac:dyDescent="0.25">
      <c r="B108" s="8"/>
      <c r="C108" s="8"/>
      <c r="D108" s="381"/>
      <c r="E108" s="243"/>
      <c r="F108" s="243"/>
      <c r="G108" s="244"/>
      <c r="I10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09" spans="2:9" x14ac:dyDescent="0.25">
      <c r="B109" s="8"/>
      <c r="C109" s="8"/>
      <c r="D109" s="381"/>
      <c r="E109" s="243"/>
      <c r="F109" s="243"/>
      <c r="G109" s="244"/>
      <c r="I10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0" spans="2:9" x14ac:dyDescent="0.25">
      <c r="B110" s="8"/>
      <c r="C110" s="8"/>
      <c r="D110" s="381"/>
      <c r="E110" s="243"/>
      <c r="F110" s="243"/>
      <c r="G110" s="244"/>
      <c r="I11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1" spans="2:9" x14ac:dyDescent="0.25">
      <c r="B111" s="8"/>
      <c r="C111" s="8"/>
      <c r="D111" s="381"/>
      <c r="E111" s="243"/>
      <c r="F111" s="243"/>
      <c r="G111" s="244"/>
      <c r="I11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2" spans="2:9" x14ac:dyDescent="0.25">
      <c r="B112" s="8"/>
      <c r="C112" s="8"/>
      <c r="D112" s="381"/>
      <c r="E112" s="243"/>
      <c r="F112" s="243"/>
      <c r="G112" s="244"/>
      <c r="I11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3" spans="2:9" x14ac:dyDescent="0.25">
      <c r="B113" s="8"/>
      <c r="C113" s="8"/>
      <c r="D113" s="381"/>
      <c r="E113" s="243"/>
      <c r="F113" s="243"/>
      <c r="G113" s="244"/>
      <c r="I11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4" spans="2:9" x14ac:dyDescent="0.25">
      <c r="B114" s="8"/>
      <c r="C114" s="8"/>
      <c r="D114" s="381"/>
      <c r="E114" s="243"/>
      <c r="F114" s="243"/>
      <c r="G114" s="244"/>
      <c r="I11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5" spans="2:9" x14ac:dyDescent="0.25">
      <c r="B115" s="8"/>
      <c r="C115" s="8"/>
      <c r="D115" s="381"/>
      <c r="E115" s="243"/>
      <c r="F115" s="243"/>
      <c r="G115" s="244"/>
      <c r="I11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6" spans="2:9" x14ac:dyDescent="0.25">
      <c r="B116" s="8"/>
      <c r="C116" s="8"/>
      <c r="D116" s="381"/>
      <c r="E116" s="243"/>
      <c r="F116" s="243"/>
      <c r="G116" s="244"/>
      <c r="I11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7" spans="2:9" x14ac:dyDescent="0.25">
      <c r="B117" s="8"/>
      <c r="C117" s="8"/>
      <c r="D117" s="381"/>
      <c r="E117" s="243"/>
      <c r="F117" s="243"/>
      <c r="G117" s="244"/>
      <c r="I11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8" spans="2:9" x14ac:dyDescent="0.25">
      <c r="B118" s="8"/>
      <c r="C118" s="8"/>
      <c r="D118" s="381"/>
      <c r="E118" s="243"/>
      <c r="F118" s="243"/>
      <c r="G118" s="244"/>
      <c r="I11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19" spans="2:9" x14ac:dyDescent="0.25">
      <c r="B119" s="8"/>
      <c r="C119" s="8"/>
      <c r="D119" s="381"/>
      <c r="E119" s="243"/>
      <c r="F119" s="243"/>
      <c r="G119" s="244"/>
      <c r="I11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0" spans="2:9" x14ac:dyDescent="0.25">
      <c r="B120" s="8"/>
      <c r="C120" s="8"/>
      <c r="D120" s="381"/>
      <c r="E120" s="243"/>
      <c r="F120" s="243"/>
      <c r="G120" s="244"/>
      <c r="I12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1" spans="2:9" x14ac:dyDescent="0.25">
      <c r="B121" s="8"/>
      <c r="C121" s="8"/>
      <c r="D121" s="381"/>
      <c r="E121" s="243"/>
      <c r="F121" s="243"/>
      <c r="G121" s="244"/>
      <c r="I12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2" spans="2:9" x14ac:dyDescent="0.25">
      <c r="B122" s="8"/>
      <c r="C122" s="8"/>
      <c r="D122" s="381"/>
      <c r="E122" s="243"/>
      <c r="F122" s="243"/>
      <c r="G122" s="244"/>
      <c r="I12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3" spans="2:9" x14ac:dyDescent="0.25">
      <c r="B123" s="8"/>
      <c r="C123" s="8"/>
      <c r="D123" s="381"/>
      <c r="E123" s="243"/>
      <c r="F123" s="243"/>
      <c r="G123" s="244"/>
      <c r="I12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4" spans="2:9" x14ac:dyDescent="0.25">
      <c r="B124" s="8"/>
      <c r="C124" s="8"/>
      <c r="D124" s="381"/>
      <c r="E124" s="243"/>
      <c r="F124" s="243"/>
      <c r="G124" s="244"/>
      <c r="I12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5" spans="2:9" x14ac:dyDescent="0.25">
      <c r="B125" s="8"/>
      <c r="C125" s="8"/>
      <c r="D125" s="381"/>
      <c r="E125" s="243"/>
      <c r="F125" s="243"/>
      <c r="G125" s="244"/>
      <c r="I12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6" spans="2:9" x14ac:dyDescent="0.25">
      <c r="B126" s="8"/>
      <c r="C126" s="8"/>
      <c r="D126" s="381"/>
      <c r="E126" s="243"/>
      <c r="F126" s="243"/>
      <c r="G126" s="244"/>
      <c r="I12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7" spans="2:9" x14ac:dyDescent="0.25">
      <c r="B127" s="8"/>
      <c r="C127" s="8"/>
      <c r="D127" s="381"/>
      <c r="E127" s="243"/>
      <c r="F127" s="243"/>
      <c r="G127" s="244"/>
      <c r="I12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8" spans="2:9" x14ac:dyDescent="0.25">
      <c r="B128" s="8"/>
      <c r="C128" s="8"/>
      <c r="D128" s="381"/>
      <c r="E128" s="243"/>
      <c r="F128" s="243"/>
      <c r="G128" s="244"/>
      <c r="I12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29" spans="2:9" x14ac:dyDescent="0.25">
      <c r="B129" s="8"/>
      <c r="C129" s="8"/>
      <c r="D129" s="381"/>
      <c r="E129" s="243"/>
      <c r="F129" s="243"/>
      <c r="G129" s="244"/>
      <c r="I12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0" spans="2:9" x14ac:dyDescent="0.25">
      <c r="B130" s="8"/>
      <c r="C130" s="8"/>
      <c r="D130" s="381"/>
      <c r="E130" s="243"/>
      <c r="F130" s="243"/>
      <c r="G130" s="244"/>
      <c r="I13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1" spans="2:9" x14ac:dyDescent="0.25">
      <c r="B131" s="8"/>
      <c r="C131" s="8"/>
      <c r="D131" s="381"/>
      <c r="E131" s="243"/>
      <c r="F131" s="243"/>
      <c r="G131" s="244"/>
      <c r="I13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2" spans="2:9" x14ac:dyDescent="0.25">
      <c r="B132" s="8"/>
      <c r="C132" s="8"/>
      <c r="D132" s="381"/>
      <c r="E132" s="243"/>
      <c r="F132" s="243"/>
      <c r="G132" s="244"/>
      <c r="I13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3" spans="2:9" x14ac:dyDescent="0.25">
      <c r="B133" s="8"/>
      <c r="C133" s="8"/>
      <c r="D133" s="381"/>
      <c r="E133" s="243"/>
      <c r="F133" s="243"/>
      <c r="G133" s="244"/>
      <c r="I13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4" spans="2:9" x14ac:dyDescent="0.25">
      <c r="B134" s="8"/>
      <c r="C134" s="8"/>
      <c r="D134" s="381"/>
      <c r="E134" s="243"/>
      <c r="F134" s="243"/>
      <c r="G134" s="244"/>
      <c r="I13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5" spans="2:9" x14ac:dyDescent="0.25">
      <c r="B135" s="8"/>
      <c r="C135" s="8"/>
      <c r="D135" s="381"/>
      <c r="E135" s="243"/>
      <c r="F135" s="243"/>
      <c r="G135" s="244"/>
      <c r="I13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6" spans="2:9" x14ac:dyDescent="0.25">
      <c r="B136" s="8"/>
      <c r="C136" s="8"/>
      <c r="D136" s="381"/>
      <c r="E136" s="243"/>
      <c r="F136" s="243"/>
      <c r="G136" s="244"/>
      <c r="I13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7" spans="2:9" x14ac:dyDescent="0.25">
      <c r="B137" s="8"/>
      <c r="C137" s="8"/>
      <c r="D137" s="381"/>
      <c r="E137" s="243"/>
      <c r="F137" s="243"/>
      <c r="G137" s="244"/>
      <c r="I13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8" spans="2:9" x14ac:dyDescent="0.25">
      <c r="B138" s="8"/>
      <c r="C138" s="8"/>
      <c r="D138" s="381"/>
      <c r="E138" s="243"/>
      <c r="F138" s="243"/>
      <c r="G138" s="244"/>
      <c r="I13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39" spans="2:9" x14ac:dyDescent="0.25">
      <c r="B139" s="8"/>
      <c r="C139" s="8"/>
      <c r="D139" s="381"/>
      <c r="E139" s="243"/>
      <c r="F139" s="243"/>
      <c r="G139" s="244"/>
      <c r="I13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0" spans="2:9" x14ac:dyDescent="0.25">
      <c r="B140" s="8"/>
      <c r="C140" s="8"/>
      <c r="D140" s="381"/>
      <c r="E140" s="243"/>
      <c r="F140" s="243"/>
      <c r="G140" s="244"/>
      <c r="I14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1" spans="2:9" x14ac:dyDescent="0.25">
      <c r="B141" s="8"/>
      <c r="C141" s="8"/>
      <c r="D141" s="381"/>
      <c r="E141" s="243"/>
      <c r="F141" s="243"/>
      <c r="G141" s="244"/>
      <c r="I14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2" spans="2:9" x14ac:dyDescent="0.25">
      <c r="B142" s="8"/>
      <c r="C142" s="8"/>
      <c r="D142" s="381"/>
      <c r="E142" s="243"/>
      <c r="F142" s="243"/>
      <c r="G142" s="244"/>
      <c r="I14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3" spans="2:9" x14ac:dyDescent="0.25">
      <c r="B143" s="8"/>
      <c r="C143" s="8"/>
      <c r="D143" s="381"/>
      <c r="E143" s="243"/>
      <c r="F143" s="243"/>
      <c r="G143" s="244"/>
      <c r="I14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4" spans="2:9" x14ac:dyDescent="0.25">
      <c r="B144" s="8"/>
      <c r="C144" s="8"/>
      <c r="D144" s="381"/>
      <c r="E144" s="243"/>
      <c r="F144" s="243"/>
      <c r="G144" s="244"/>
      <c r="I14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5" spans="2:9" x14ac:dyDescent="0.25">
      <c r="B145" s="8"/>
      <c r="C145" s="8"/>
      <c r="D145" s="381"/>
      <c r="E145" s="243"/>
      <c r="F145" s="243"/>
      <c r="G145" s="244"/>
      <c r="I14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6" spans="2:9" x14ac:dyDescent="0.25">
      <c r="B146" s="8"/>
      <c r="C146" s="8"/>
      <c r="D146" s="381"/>
      <c r="E146" s="243"/>
      <c r="F146" s="243"/>
      <c r="G146" s="244"/>
      <c r="I14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7" spans="2:9" x14ac:dyDescent="0.25">
      <c r="B147" s="8"/>
      <c r="C147" s="8"/>
      <c r="D147" s="381"/>
      <c r="E147" s="243"/>
      <c r="F147" s="243"/>
      <c r="G147" s="244"/>
      <c r="I14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8" spans="2:9" x14ac:dyDescent="0.25">
      <c r="B148" s="8"/>
      <c r="C148" s="8"/>
      <c r="D148" s="381"/>
      <c r="E148" s="243"/>
      <c r="F148" s="243"/>
      <c r="G148" s="244"/>
      <c r="I14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49" spans="2:9" x14ac:dyDescent="0.25">
      <c r="B149" s="8"/>
      <c r="C149" s="8"/>
      <c r="D149" s="381"/>
      <c r="E149" s="243"/>
      <c r="F149" s="243"/>
      <c r="G149" s="244"/>
      <c r="I14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0" spans="2:9" x14ac:dyDescent="0.25">
      <c r="B150" s="8"/>
      <c r="C150" s="8"/>
      <c r="D150" s="381"/>
      <c r="E150" s="243"/>
      <c r="F150" s="243"/>
      <c r="G150" s="244"/>
      <c r="I15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1" spans="2:9" x14ac:dyDescent="0.25">
      <c r="B151" s="8"/>
      <c r="C151" s="8"/>
      <c r="D151" s="381"/>
      <c r="E151" s="243"/>
      <c r="F151" s="243"/>
      <c r="G151" s="244"/>
      <c r="I15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2" spans="2:9" x14ac:dyDescent="0.25">
      <c r="B152" s="8"/>
      <c r="C152" s="8"/>
      <c r="D152" s="381"/>
      <c r="E152" s="243"/>
      <c r="F152" s="243"/>
      <c r="G152" s="244"/>
      <c r="I15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3" spans="2:9" x14ac:dyDescent="0.25">
      <c r="B153" s="8"/>
      <c r="C153" s="8"/>
      <c r="D153" s="381"/>
      <c r="E153" s="243"/>
      <c r="F153" s="243"/>
      <c r="G153" s="244"/>
      <c r="I15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4" spans="2:9" x14ac:dyDescent="0.25">
      <c r="B154" s="8"/>
      <c r="C154" s="8"/>
      <c r="D154" s="381"/>
      <c r="E154" s="243"/>
      <c r="F154" s="243"/>
      <c r="G154" s="244"/>
      <c r="I15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5" spans="2:9" x14ac:dyDescent="0.25">
      <c r="B155" s="8"/>
      <c r="C155" s="8"/>
      <c r="D155" s="381"/>
      <c r="E155" s="243"/>
      <c r="F155" s="243"/>
      <c r="G155" s="244"/>
      <c r="I15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6" spans="2:9" x14ac:dyDescent="0.25">
      <c r="B156" s="8"/>
      <c r="C156" s="8"/>
      <c r="D156" s="381"/>
      <c r="E156" s="243"/>
      <c r="F156" s="243"/>
      <c r="G156" s="244"/>
      <c r="I15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7" spans="2:9" x14ac:dyDescent="0.25">
      <c r="B157" s="8"/>
      <c r="C157" s="8"/>
      <c r="D157" s="381"/>
      <c r="E157" s="243"/>
      <c r="F157" s="243"/>
      <c r="G157" s="244"/>
      <c r="I15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8" spans="2:9" x14ac:dyDescent="0.25">
      <c r="B158" s="8"/>
      <c r="C158" s="8"/>
      <c r="D158" s="381"/>
      <c r="E158" s="243"/>
      <c r="F158" s="243"/>
      <c r="G158" s="244"/>
      <c r="I15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59" spans="2:9" x14ac:dyDescent="0.25">
      <c r="B159" s="8"/>
      <c r="C159" s="8"/>
      <c r="D159" s="381"/>
      <c r="E159" s="243"/>
      <c r="F159" s="243"/>
      <c r="G159" s="244"/>
      <c r="I15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0" spans="2:9" x14ac:dyDescent="0.25">
      <c r="B160" s="8"/>
      <c r="C160" s="8"/>
      <c r="D160" s="381"/>
      <c r="E160" s="243"/>
      <c r="F160" s="243"/>
      <c r="G160" s="244"/>
      <c r="I16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1" spans="2:9" x14ac:dyDescent="0.25">
      <c r="B161" s="8"/>
      <c r="C161" s="8"/>
      <c r="D161" s="381"/>
      <c r="E161" s="243"/>
      <c r="F161" s="243"/>
      <c r="G161" s="244"/>
      <c r="I16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2" spans="2:9" x14ac:dyDescent="0.25">
      <c r="B162" s="8"/>
      <c r="C162" s="8"/>
      <c r="D162" s="381"/>
      <c r="E162" s="243"/>
      <c r="F162" s="243"/>
      <c r="G162" s="244"/>
      <c r="I16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3" spans="2:9" x14ac:dyDescent="0.25">
      <c r="B163" s="8"/>
      <c r="C163" s="8"/>
      <c r="D163" s="381"/>
      <c r="E163" s="243"/>
      <c r="F163" s="243"/>
      <c r="G163" s="244"/>
      <c r="I16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4" spans="2:9" x14ac:dyDescent="0.25">
      <c r="B164" s="8"/>
      <c r="C164" s="8"/>
      <c r="D164" s="381"/>
      <c r="E164" s="243"/>
      <c r="F164" s="243"/>
      <c r="G164" s="244"/>
      <c r="I16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5" spans="2:9" x14ac:dyDescent="0.25">
      <c r="B165" s="8"/>
      <c r="C165" s="8"/>
      <c r="D165" s="381"/>
      <c r="E165" s="243"/>
      <c r="F165" s="243"/>
      <c r="G165" s="244"/>
      <c r="I16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6" spans="2:9" x14ac:dyDescent="0.25">
      <c r="B166" s="8"/>
      <c r="C166" s="8"/>
      <c r="D166" s="381"/>
      <c r="E166" s="243"/>
      <c r="F166" s="243"/>
      <c r="G166" s="244"/>
      <c r="I16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7" spans="2:9" x14ac:dyDescent="0.25">
      <c r="B167" s="8"/>
      <c r="C167" s="8"/>
      <c r="D167" s="381"/>
      <c r="E167" s="243"/>
      <c r="F167" s="243"/>
      <c r="G167" s="244"/>
      <c r="I16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8" spans="2:9" x14ac:dyDescent="0.25">
      <c r="B168" s="8"/>
      <c r="C168" s="8"/>
      <c r="D168" s="381"/>
      <c r="E168" s="243"/>
      <c r="F168" s="243"/>
      <c r="G168" s="244"/>
      <c r="I16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69" spans="2:9" x14ac:dyDescent="0.25">
      <c r="B169" s="8"/>
      <c r="C169" s="8"/>
      <c r="D169" s="381"/>
      <c r="E169" s="243"/>
      <c r="F169" s="243"/>
      <c r="G169" s="244"/>
      <c r="I16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0" spans="2:9" x14ac:dyDescent="0.25">
      <c r="B170" s="8"/>
      <c r="C170" s="8"/>
      <c r="D170" s="381"/>
      <c r="E170" s="243"/>
      <c r="F170" s="243"/>
      <c r="G170" s="244"/>
      <c r="I17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1" spans="2:9" x14ac:dyDescent="0.25">
      <c r="B171" s="8"/>
      <c r="C171" s="8"/>
      <c r="D171" s="381"/>
      <c r="E171" s="243"/>
      <c r="F171" s="243"/>
      <c r="G171" s="244"/>
      <c r="I17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2" spans="2:9" x14ac:dyDescent="0.25">
      <c r="B172" s="8"/>
      <c r="C172" s="8"/>
      <c r="D172" s="381"/>
      <c r="E172" s="243"/>
      <c r="F172" s="243"/>
      <c r="G172" s="244"/>
      <c r="I17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3" spans="2:9" x14ac:dyDescent="0.25">
      <c r="B173" s="8"/>
      <c r="C173" s="8"/>
      <c r="D173" s="381"/>
      <c r="E173" s="243"/>
      <c r="F173" s="243"/>
      <c r="G173" s="244"/>
      <c r="I17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4" spans="2:9" x14ac:dyDescent="0.25">
      <c r="B174" s="8"/>
      <c r="C174" s="8"/>
      <c r="D174" s="381"/>
      <c r="E174" s="243"/>
      <c r="F174" s="243"/>
      <c r="G174" s="244"/>
      <c r="I17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5" spans="2:9" x14ac:dyDescent="0.25">
      <c r="B175" s="8"/>
      <c r="C175" s="8"/>
      <c r="D175" s="381"/>
      <c r="E175" s="243"/>
      <c r="F175" s="243"/>
      <c r="G175" s="244"/>
      <c r="I17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6" spans="2:9" x14ac:dyDescent="0.25">
      <c r="B176" s="8"/>
      <c r="C176" s="8"/>
      <c r="D176" s="381"/>
      <c r="E176" s="243"/>
      <c r="F176" s="243"/>
      <c r="G176" s="244"/>
      <c r="I17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7" spans="2:9" x14ac:dyDescent="0.25">
      <c r="B177" s="8"/>
      <c r="C177" s="8"/>
      <c r="D177" s="381"/>
      <c r="E177" s="243"/>
      <c r="F177" s="243"/>
      <c r="G177" s="244"/>
      <c r="I17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8" spans="2:9" x14ac:dyDescent="0.25">
      <c r="B178" s="8"/>
      <c r="C178" s="8"/>
      <c r="D178" s="381"/>
      <c r="E178" s="243"/>
      <c r="F178" s="243"/>
      <c r="G178" s="244"/>
      <c r="I17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79" spans="2:9" x14ac:dyDescent="0.25">
      <c r="B179" s="8"/>
      <c r="C179" s="8"/>
      <c r="D179" s="381"/>
      <c r="E179" s="243"/>
      <c r="F179" s="243"/>
      <c r="G179" s="244"/>
      <c r="I17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0" spans="2:9" x14ac:dyDescent="0.25">
      <c r="B180" s="8"/>
      <c r="C180" s="8"/>
      <c r="D180" s="381"/>
      <c r="E180" s="243"/>
      <c r="F180" s="243"/>
      <c r="G180" s="244"/>
      <c r="I18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1" spans="2:9" x14ac:dyDescent="0.25">
      <c r="B181" s="8"/>
      <c r="C181" s="8"/>
      <c r="D181" s="381"/>
      <c r="E181" s="243"/>
      <c r="F181" s="243"/>
      <c r="G181" s="244"/>
      <c r="I18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2" spans="2:9" x14ac:dyDescent="0.25">
      <c r="B182" s="8"/>
      <c r="C182" s="8"/>
      <c r="D182" s="381"/>
      <c r="E182" s="243"/>
      <c r="F182" s="243"/>
      <c r="G182" s="244"/>
      <c r="I18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3" spans="2:9" x14ac:dyDescent="0.25">
      <c r="B183" s="8"/>
      <c r="C183" s="8"/>
      <c r="D183" s="381"/>
      <c r="E183" s="243"/>
      <c r="F183" s="243"/>
      <c r="G183" s="244"/>
      <c r="I18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4" spans="2:9" x14ac:dyDescent="0.25">
      <c r="B184" s="8"/>
      <c r="C184" s="8"/>
      <c r="D184" s="381"/>
      <c r="E184" s="243"/>
      <c r="F184" s="243"/>
      <c r="G184" s="244"/>
      <c r="I18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5" spans="2:9" x14ac:dyDescent="0.25">
      <c r="B185" s="8"/>
      <c r="C185" s="8"/>
      <c r="D185" s="381"/>
      <c r="E185" s="243"/>
      <c r="F185" s="243"/>
      <c r="G185" s="244"/>
      <c r="I18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6" spans="2:9" x14ac:dyDescent="0.25">
      <c r="B186" s="8"/>
      <c r="C186" s="8"/>
      <c r="D186" s="381"/>
      <c r="E186" s="243"/>
      <c r="F186" s="243"/>
      <c r="G186" s="244"/>
      <c r="I18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7" spans="2:9" x14ac:dyDescent="0.25">
      <c r="B187" s="8"/>
      <c r="C187" s="8"/>
      <c r="D187" s="381"/>
      <c r="E187" s="243"/>
      <c r="F187" s="243"/>
      <c r="G187" s="244"/>
      <c r="I18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8" spans="2:9" x14ac:dyDescent="0.25">
      <c r="B188" s="8"/>
      <c r="C188" s="8"/>
      <c r="D188" s="381"/>
      <c r="E188" s="243"/>
      <c r="F188" s="243"/>
      <c r="G188" s="244"/>
      <c r="I18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89" spans="2:9" x14ac:dyDescent="0.25">
      <c r="B189" s="8"/>
      <c r="C189" s="8"/>
      <c r="D189" s="381"/>
      <c r="E189" s="243"/>
      <c r="F189" s="243"/>
      <c r="G189" s="244"/>
      <c r="I18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0" spans="2:9" x14ac:dyDescent="0.25">
      <c r="B190" s="8"/>
      <c r="C190" s="8"/>
      <c r="D190" s="381"/>
      <c r="E190" s="243"/>
      <c r="F190" s="243"/>
      <c r="G190" s="244"/>
      <c r="I19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1" spans="2:9" x14ac:dyDescent="0.25">
      <c r="B191" s="8"/>
      <c r="C191" s="8"/>
      <c r="D191" s="381"/>
      <c r="E191" s="243"/>
      <c r="F191" s="243"/>
      <c r="G191" s="244"/>
      <c r="I19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2" spans="2:9" x14ac:dyDescent="0.25">
      <c r="B192" s="8"/>
      <c r="C192" s="8"/>
      <c r="D192" s="381"/>
      <c r="E192" s="243"/>
      <c r="F192" s="243"/>
      <c r="G192" s="244"/>
      <c r="I19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3" spans="2:9" x14ac:dyDescent="0.25">
      <c r="B193" s="8"/>
      <c r="C193" s="8"/>
      <c r="D193" s="381"/>
      <c r="E193" s="243"/>
      <c r="F193" s="243"/>
      <c r="G193" s="244"/>
      <c r="I19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4" spans="2:9" x14ac:dyDescent="0.25">
      <c r="B194" s="8"/>
      <c r="C194" s="8"/>
      <c r="D194" s="381"/>
      <c r="E194" s="243"/>
      <c r="F194" s="243"/>
      <c r="G194" s="244"/>
      <c r="I19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5" spans="2:9" x14ac:dyDescent="0.25">
      <c r="B195" s="8"/>
      <c r="C195" s="8"/>
      <c r="D195" s="381"/>
      <c r="E195" s="243"/>
      <c r="F195" s="243"/>
      <c r="G195" s="244"/>
      <c r="I19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6" spans="2:9" x14ac:dyDescent="0.25">
      <c r="B196" s="8"/>
      <c r="C196" s="8"/>
      <c r="D196" s="381"/>
      <c r="E196" s="243"/>
      <c r="F196" s="243"/>
      <c r="G196" s="244"/>
      <c r="I19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7" spans="2:9" x14ac:dyDescent="0.25">
      <c r="B197" s="8"/>
      <c r="C197" s="8"/>
      <c r="D197" s="381"/>
      <c r="E197" s="243"/>
      <c r="F197" s="243"/>
      <c r="G197" s="244"/>
      <c r="I19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8" spans="2:9" x14ac:dyDescent="0.25">
      <c r="B198" s="8"/>
      <c r="C198" s="8"/>
      <c r="D198" s="381"/>
      <c r="E198" s="243"/>
      <c r="F198" s="243"/>
      <c r="G198" s="244"/>
      <c r="I19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199" spans="2:9" x14ac:dyDescent="0.25">
      <c r="B199" s="8"/>
      <c r="C199" s="8"/>
      <c r="D199" s="381"/>
      <c r="E199" s="243"/>
      <c r="F199" s="243"/>
      <c r="G199" s="244"/>
      <c r="I19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0" spans="2:9" x14ac:dyDescent="0.25">
      <c r="B200" s="8"/>
      <c r="C200" s="8"/>
      <c r="D200" s="381"/>
      <c r="E200" s="243"/>
      <c r="F200" s="243"/>
      <c r="G200" s="244"/>
      <c r="I20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1" spans="2:9" x14ac:dyDescent="0.25">
      <c r="B201" s="8"/>
      <c r="C201" s="8"/>
      <c r="D201" s="381"/>
      <c r="E201" s="243"/>
      <c r="F201" s="243"/>
      <c r="G201" s="244"/>
      <c r="I20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2" spans="2:9" x14ac:dyDescent="0.25">
      <c r="B202" s="8"/>
      <c r="C202" s="8"/>
      <c r="D202" s="381"/>
      <c r="E202" s="243"/>
      <c r="F202" s="243"/>
      <c r="G202" s="244"/>
      <c r="I20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3" spans="2:9" x14ac:dyDescent="0.25">
      <c r="B203" s="8"/>
      <c r="C203" s="8"/>
      <c r="D203" s="381"/>
      <c r="E203" s="243"/>
      <c r="F203" s="243"/>
      <c r="G203" s="244"/>
      <c r="I20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4" spans="2:9" x14ac:dyDescent="0.25">
      <c r="B204" s="8"/>
      <c r="C204" s="8"/>
      <c r="D204" s="381"/>
      <c r="E204" s="243"/>
      <c r="F204" s="243"/>
      <c r="G204" s="244"/>
      <c r="I20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5" spans="2:9" x14ac:dyDescent="0.25">
      <c r="B205" s="8"/>
      <c r="C205" s="8"/>
      <c r="D205" s="381"/>
      <c r="E205" s="243"/>
      <c r="F205" s="243"/>
      <c r="G205" s="244"/>
      <c r="I20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6" spans="2:9" x14ac:dyDescent="0.25">
      <c r="B206" s="8"/>
      <c r="C206" s="8"/>
      <c r="D206" s="381"/>
      <c r="E206" s="243"/>
      <c r="F206" s="243"/>
      <c r="G206" s="244"/>
      <c r="I20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7" spans="2:9" x14ac:dyDescent="0.25">
      <c r="B207" s="8"/>
      <c r="C207" s="8"/>
      <c r="D207" s="381"/>
      <c r="E207" s="243"/>
      <c r="F207" s="243"/>
      <c r="G207" s="244"/>
      <c r="I20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8" spans="2:9" x14ac:dyDescent="0.25">
      <c r="B208" s="8"/>
      <c r="C208" s="8"/>
      <c r="D208" s="381"/>
      <c r="E208" s="243"/>
      <c r="F208" s="243"/>
      <c r="G208" s="244"/>
      <c r="I20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09" spans="2:9" x14ac:dyDescent="0.25">
      <c r="B209" s="8"/>
      <c r="C209" s="8"/>
      <c r="D209" s="381"/>
      <c r="E209" s="243"/>
      <c r="F209" s="243"/>
      <c r="G209" s="244"/>
      <c r="I20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0" spans="2:9" x14ac:dyDescent="0.25">
      <c r="B210" s="8"/>
      <c r="C210" s="8"/>
      <c r="D210" s="381"/>
      <c r="E210" s="243"/>
      <c r="F210" s="243"/>
      <c r="G210" s="244"/>
      <c r="I21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1" spans="2:9" x14ac:dyDescent="0.25">
      <c r="B211" s="8"/>
      <c r="C211" s="8"/>
      <c r="D211" s="381"/>
      <c r="E211" s="243"/>
      <c r="F211" s="243"/>
      <c r="G211" s="244"/>
      <c r="I21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2" spans="2:9" x14ac:dyDescent="0.25">
      <c r="B212" s="8"/>
      <c r="C212" s="8"/>
      <c r="D212" s="381"/>
      <c r="E212" s="243"/>
      <c r="F212" s="243"/>
      <c r="G212" s="244"/>
      <c r="I21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3" spans="2:9" x14ac:dyDescent="0.25">
      <c r="B213" s="8"/>
      <c r="C213" s="8"/>
      <c r="D213" s="381"/>
      <c r="E213" s="243"/>
      <c r="F213" s="243"/>
      <c r="G213" s="244"/>
      <c r="I21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4" spans="2:9" x14ac:dyDescent="0.25">
      <c r="B214" s="8"/>
      <c r="C214" s="8"/>
      <c r="D214" s="381"/>
      <c r="E214" s="243"/>
      <c r="F214" s="243"/>
      <c r="G214" s="244"/>
      <c r="I21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5" spans="2:9" x14ac:dyDescent="0.25">
      <c r="B215" s="8"/>
      <c r="C215" s="8"/>
      <c r="D215" s="381"/>
      <c r="E215" s="243"/>
      <c r="F215" s="243"/>
      <c r="G215" s="244"/>
      <c r="I21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6" spans="2:9" x14ac:dyDescent="0.25">
      <c r="B216" s="8"/>
      <c r="C216" s="8"/>
      <c r="D216" s="381"/>
      <c r="E216" s="243"/>
      <c r="F216" s="243"/>
      <c r="G216" s="244"/>
      <c r="I21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7" spans="2:9" x14ac:dyDescent="0.25">
      <c r="B217" s="8"/>
      <c r="C217" s="8"/>
      <c r="D217" s="381"/>
      <c r="E217" s="243"/>
      <c r="F217" s="243"/>
      <c r="G217" s="244"/>
      <c r="I21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8" spans="2:9" x14ac:dyDescent="0.25">
      <c r="B218" s="8"/>
      <c r="C218" s="8"/>
      <c r="D218" s="381"/>
      <c r="E218" s="243"/>
      <c r="F218" s="243"/>
      <c r="G218" s="244"/>
      <c r="I21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19" spans="2:9" x14ac:dyDescent="0.25">
      <c r="B219" s="8"/>
      <c r="C219" s="8"/>
      <c r="D219" s="381"/>
      <c r="E219" s="243"/>
      <c r="F219" s="243"/>
      <c r="G219" s="244"/>
      <c r="I21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0" spans="2:9" x14ac:dyDescent="0.25">
      <c r="B220" s="8"/>
      <c r="C220" s="8"/>
      <c r="D220" s="381"/>
      <c r="E220" s="243"/>
      <c r="F220" s="243"/>
      <c r="G220" s="244"/>
      <c r="I22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1" spans="2:9" x14ac:dyDescent="0.25">
      <c r="B221" s="8"/>
      <c r="C221" s="8"/>
      <c r="D221" s="381"/>
      <c r="E221" s="243"/>
      <c r="F221" s="243"/>
      <c r="G221" s="244"/>
      <c r="I22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2" spans="2:9" x14ac:dyDescent="0.25">
      <c r="B222" s="8"/>
      <c r="C222" s="8"/>
      <c r="D222" s="381"/>
      <c r="E222" s="243"/>
      <c r="F222" s="243"/>
      <c r="G222" s="244"/>
      <c r="I22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3" spans="2:9" x14ac:dyDescent="0.25">
      <c r="B223" s="8"/>
      <c r="C223" s="8"/>
      <c r="D223" s="381"/>
      <c r="E223" s="243"/>
      <c r="F223" s="243"/>
      <c r="G223" s="244"/>
      <c r="I22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4" spans="2:9" x14ac:dyDescent="0.25">
      <c r="B224" s="8"/>
      <c r="C224" s="8"/>
      <c r="D224" s="381"/>
      <c r="E224" s="243"/>
      <c r="F224" s="243"/>
      <c r="G224" s="244"/>
      <c r="I22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5" spans="2:9" x14ac:dyDescent="0.25">
      <c r="B225" s="8"/>
      <c r="C225" s="8"/>
      <c r="D225" s="381"/>
      <c r="E225" s="243"/>
      <c r="F225" s="243"/>
      <c r="G225" s="244"/>
      <c r="I22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6" spans="2:9" x14ac:dyDescent="0.25">
      <c r="B226" s="8"/>
      <c r="C226" s="8"/>
      <c r="D226" s="381"/>
      <c r="E226" s="243"/>
      <c r="F226" s="243"/>
      <c r="G226" s="244"/>
      <c r="I22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7" spans="2:9" x14ac:dyDescent="0.25">
      <c r="B227" s="8"/>
      <c r="C227" s="8"/>
      <c r="D227" s="381"/>
      <c r="E227" s="243"/>
      <c r="F227" s="243"/>
      <c r="G227" s="244"/>
      <c r="I22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8" spans="2:9" x14ac:dyDescent="0.25">
      <c r="B228" s="8"/>
      <c r="C228" s="8"/>
      <c r="D228" s="381"/>
      <c r="E228" s="243"/>
      <c r="F228" s="243"/>
      <c r="G228" s="244"/>
      <c r="I22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29" spans="2:9" x14ac:dyDescent="0.25">
      <c r="B229" s="8"/>
      <c r="C229" s="8"/>
      <c r="D229" s="381"/>
      <c r="E229" s="243"/>
      <c r="F229" s="243"/>
      <c r="G229" s="244"/>
      <c r="I22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0" spans="2:9" x14ac:dyDescent="0.25">
      <c r="B230" s="8"/>
      <c r="C230" s="8"/>
      <c r="D230" s="381"/>
      <c r="E230" s="243"/>
      <c r="F230" s="243"/>
      <c r="G230" s="244"/>
      <c r="I23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1" spans="2:9" x14ac:dyDescent="0.25">
      <c r="B231" s="8"/>
      <c r="C231" s="8"/>
      <c r="D231" s="381"/>
      <c r="E231" s="243"/>
      <c r="F231" s="243"/>
      <c r="G231" s="244"/>
      <c r="I23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2" spans="2:9" x14ac:dyDescent="0.25">
      <c r="B232" s="8"/>
      <c r="C232" s="8"/>
      <c r="D232" s="381"/>
      <c r="E232" s="243"/>
      <c r="F232" s="243"/>
      <c r="G232" s="244"/>
      <c r="I23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3" spans="2:9" x14ac:dyDescent="0.25">
      <c r="B233" s="8"/>
      <c r="C233" s="8"/>
      <c r="D233" s="381"/>
      <c r="E233" s="243"/>
      <c r="F233" s="243"/>
      <c r="G233" s="244"/>
      <c r="I23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4" spans="2:9" x14ac:dyDescent="0.25">
      <c r="B234" s="8"/>
      <c r="C234" s="8"/>
      <c r="D234" s="381"/>
      <c r="E234" s="243"/>
      <c r="F234" s="243"/>
      <c r="G234" s="244"/>
      <c r="I23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5" spans="2:9" x14ac:dyDescent="0.25">
      <c r="B235" s="8"/>
      <c r="C235" s="8"/>
      <c r="D235" s="381"/>
      <c r="E235" s="243"/>
      <c r="F235" s="243"/>
      <c r="G235" s="244"/>
      <c r="I23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6" spans="2:9" x14ac:dyDescent="0.25">
      <c r="B236" s="8"/>
      <c r="C236" s="8"/>
      <c r="D236" s="381"/>
      <c r="E236" s="243"/>
      <c r="F236" s="243"/>
      <c r="G236" s="244"/>
      <c r="I23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7" spans="2:9" x14ac:dyDescent="0.25">
      <c r="B237" s="8"/>
      <c r="C237" s="8"/>
      <c r="D237" s="381"/>
      <c r="E237" s="243"/>
      <c r="F237" s="243"/>
      <c r="G237" s="244"/>
      <c r="I23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8" spans="2:9" x14ac:dyDescent="0.25">
      <c r="B238" s="8"/>
      <c r="C238" s="8"/>
      <c r="D238" s="381"/>
      <c r="E238" s="243"/>
      <c r="F238" s="243"/>
      <c r="G238" s="244"/>
      <c r="I23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39" spans="2:9" x14ac:dyDescent="0.25">
      <c r="B239" s="8"/>
      <c r="C239" s="8"/>
      <c r="D239" s="381"/>
      <c r="E239" s="243"/>
      <c r="F239" s="243"/>
      <c r="G239" s="244"/>
      <c r="I23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0" spans="2:9" x14ac:dyDescent="0.25">
      <c r="B240" s="8"/>
      <c r="C240" s="8"/>
      <c r="D240" s="381"/>
      <c r="E240" s="243"/>
      <c r="F240" s="243"/>
      <c r="G240" s="244"/>
      <c r="I24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1" spans="2:9" x14ac:dyDescent="0.25">
      <c r="B241" s="8"/>
      <c r="C241" s="8"/>
      <c r="D241" s="381"/>
      <c r="E241" s="243"/>
      <c r="F241" s="243"/>
      <c r="G241" s="244"/>
      <c r="I24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2" spans="2:9" x14ac:dyDescent="0.25">
      <c r="B242" s="8"/>
      <c r="C242" s="8"/>
      <c r="D242" s="381"/>
      <c r="E242" s="243"/>
      <c r="F242" s="243"/>
      <c r="G242" s="244"/>
      <c r="I24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3" spans="2:9" x14ac:dyDescent="0.25">
      <c r="B243" s="8"/>
      <c r="C243" s="8"/>
      <c r="D243" s="381"/>
      <c r="E243" s="243"/>
      <c r="F243" s="243"/>
      <c r="G243" s="244"/>
      <c r="I24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4" spans="2:9" x14ac:dyDescent="0.25">
      <c r="B244" s="8"/>
      <c r="C244" s="8"/>
      <c r="D244" s="381"/>
      <c r="E244" s="243"/>
      <c r="F244" s="243"/>
      <c r="G244" s="244"/>
      <c r="I24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5" spans="2:9" x14ac:dyDescent="0.25">
      <c r="B245" s="8"/>
      <c r="C245" s="8"/>
      <c r="D245" s="381"/>
      <c r="E245" s="243"/>
      <c r="F245" s="243"/>
      <c r="G245" s="244"/>
      <c r="I24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6" spans="2:9" x14ac:dyDescent="0.25">
      <c r="B246" s="8"/>
      <c r="C246" s="8"/>
      <c r="D246" s="381"/>
      <c r="E246" s="243"/>
      <c r="F246" s="243"/>
      <c r="G246" s="244"/>
      <c r="I24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7" spans="2:9" x14ac:dyDescent="0.25">
      <c r="B247" s="8"/>
      <c r="C247" s="8"/>
      <c r="D247" s="381"/>
      <c r="E247" s="243"/>
      <c r="F247" s="243"/>
      <c r="G247" s="244"/>
      <c r="I24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8" spans="2:9" x14ac:dyDescent="0.25">
      <c r="B248" s="8"/>
      <c r="C248" s="8"/>
      <c r="D248" s="381"/>
      <c r="E248" s="243"/>
      <c r="F248" s="243"/>
      <c r="G248" s="244"/>
      <c r="I24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49" spans="2:9" x14ac:dyDescent="0.25">
      <c r="B249" s="8"/>
      <c r="C249" s="8"/>
      <c r="D249" s="381"/>
      <c r="E249" s="243"/>
      <c r="F249" s="243"/>
      <c r="G249" s="244"/>
      <c r="I24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0" spans="2:9" x14ac:dyDescent="0.25">
      <c r="B250" s="8"/>
      <c r="C250" s="8"/>
      <c r="D250" s="381"/>
      <c r="E250" s="243"/>
      <c r="F250" s="243"/>
      <c r="G250" s="244"/>
      <c r="I25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1" spans="2:9" x14ac:dyDescent="0.25">
      <c r="B251" s="8"/>
      <c r="C251" s="8"/>
      <c r="D251" s="381"/>
      <c r="E251" s="243"/>
      <c r="F251" s="243"/>
      <c r="G251" s="244"/>
      <c r="I25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2" spans="2:9" x14ac:dyDescent="0.25">
      <c r="B252" s="8"/>
      <c r="C252" s="8"/>
      <c r="D252" s="381"/>
      <c r="E252" s="243"/>
      <c r="F252" s="243"/>
      <c r="G252" s="244"/>
      <c r="I25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3" spans="2:9" x14ac:dyDescent="0.25">
      <c r="B253" s="8"/>
      <c r="C253" s="8"/>
      <c r="D253" s="381"/>
      <c r="E253" s="243"/>
      <c r="F253" s="243"/>
      <c r="G253" s="244"/>
      <c r="I25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4" spans="2:9" x14ac:dyDescent="0.25">
      <c r="B254" s="8"/>
      <c r="C254" s="8"/>
      <c r="D254" s="381"/>
      <c r="E254" s="243"/>
      <c r="F254" s="243"/>
      <c r="G254" s="244"/>
      <c r="I25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5" spans="2:9" x14ac:dyDescent="0.25">
      <c r="B255" s="8"/>
      <c r="C255" s="8"/>
      <c r="D255" s="381"/>
      <c r="E255" s="243"/>
      <c r="F255" s="243"/>
      <c r="G255" s="244"/>
      <c r="I25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6" spans="2:9" x14ac:dyDescent="0.25">
      <c r="B256" s="8"/>
      <c r="C256" s="8"/>
      <c r="D256" s="381"/>
      <c r="E256" s="243"/>
      <c r="F256" s="243"/>
      <c r="G256" s="244"/>
      <c r="I25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7" spans="2:9" x14ac:dyDescent="0.25">
      <c r="B257" s="8"/>
      <c r="C257" s="8"/>
      <c r="D257" s="381"/>
      <c r="E257" s="243"/>
      <c r="F257" s="243"/>
      <c r="G257" s="244"/>
      <c r="I25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8" spans="2:9" x14ac:dyDescent="0.25">
      <c r="B258" s="8"/>
      <c r="C258" s="8"/>
      <c r="D258" s="381"/>
      <c r="E258" s="243"/>
      <c r="F258" s="243"/>
      <c r="G258" s="244"/>
      <c r="I25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59" spans="2:9" x14ac:dyDescent="0.25">
      <c r="B259" s="8"/>
      <c r="C259" s="8"/>
      <c r="D259" s="381"/>
      <c r="E259" s="243"/>
      <c r="F259" s="243"/>
      <c r="G259" s="244"/>
      <c r="I25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0" spans="2:9" x14ac:dyDescent="0.25">
      <c r="B260" s="8"/>
      <c r="C260" s="8"/>
      <c r="D260" s="381"/>
      <c r="E260" s="243"/>
      <c r="F260" s="243"/>
      <c r="G260" s="244"/>
      <c r="I26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1" spans="2:9" x14ac:dyDescent="0.25">
      <c r="B261" s="8"/>
      <c r="C261" s="8"/>
      <c r="D261" s="381"/>
      <c r="E261" s="243"/>
      <c r="F261" s="243"/>
      <c r="G261" s="244"/>
      <c r="I26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2" spans="2:9" x14ac:dyDescent="0.25">
      <c r="B262" s="8"/>
      <c r="C262" s="8"/>
      <c r="D262" s="381"/>
      <c r="E262" s="243"/>
      <c r="F262" s="243"/>
      <c r="G262" s="244"/>
      <c r="I26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3" spans="2:9" x14ac:dyDescent="0.25">
      <c r="B263" s="8"/>
      <c r="C263" s="8"/>
      <c r="D263" s="381"/>
      <c r="E263" s="243"/>
      <c r="F263" s="243"/>
      <c r="G263" s="244"/>
      <c r="I26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4" spans="2:9" x14ac:dyDescent="0.25">
      <c r="B264" s="8"/>
      <c r="C264" s="8"/>
      <c r="D264" s="381"/>
      <c r="E264" s="243"/>
      <c r="F264" s="243"/>
      <c r="G264" s="244"/>
      <c r="I26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5" spans="2:9" x14ac:dyDescent="0.25">
      <c r="B265" s="8"/>
      <c r="C265" s="8"/>
      <c r="D265" s="381"/>
      <c r="E265" s="243"/>
      <c r="F265" s="243"/>
      <c r="G265" s="244"/>
      <c r="I26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6" spans="2:9" x14ac:dyDescent="0.25">
      <c r="B266" s="8"/>
      <c r="C266" s="8"/>
      <c r="D266" s="381"/>
      <c r="E266" s="243"/>
      <c r="F266" s="243"/>
      <c r="G266" s="244"/>
      <c r="I26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7" spans="2:9" x14ac:dyDescent="0.25">
      <c r="B267" s="8"/>
      <c r="C267" s="8"/>
      <c r="D267" s="381"/>
      <c r="E267" s="243"/>
      <c r="F267" s="243"/>
      <c r="G267" s="244"/>
      <c r="I26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8" spans="2:9" x14ac:dyDescent="0.25">
      <c r="B268" s="8"/>
      <c r="C268" s="8"/>
      <c r="D268" s="381"/>
      <c r="E268" s="243"/>
      <c r="F268" s="243"/>
      <c r="G268" s="244"/>
      <c r="I26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69" spans="2:9" x14ac:dyDescent="0.25">
      <c r="B269" s="8"/>
      <c r="C269" s="8"/>
      <c r="D269" s="381"/>
      <c r="E269" s="243"/>
      <c r="F269" s="243"/>
      <c r="G269" s="244"/>
      <c r="I26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0" spans="2:9" x14ac:dyDescent="0.25">
      <c r="B270" s="8"/>
      <c r="C270" s="8"/>
      <c r="D270" s="381"/>
      <c r="E270" s="243"/>
      <c r="F270" s="243"/>
      <c r="G270" s="244"/>
      <c r="I27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1" spans="2:9" x14ac:dyDescent="0.25">
      <c r="B271" s="8"/>
      <c r="C271" s="8"/>
      <c r="D271" s="381"/>
      <c r="E271" s="243"/>
      <c r="F271" s="243"/>
      <c r="G271" s="244"/>
      <c r="I27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2" spans="2:9" x14ac:dyDescent="0.25">
      <c r="B272" s="8"/>
      <c r="C272" s="8"/>
      <c r="D272" s="381"/>
      <c r="E272" s="243"/>
      <c r="F272" s="243"/>
      <c r="G272" s="244"/>
      <c r="I27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3" spans="2:9" x14ac:dyDescent="0.25">
      <c r="B273" s="8"/>
      <c r="C273" s="8"/>
      <c r="D273" s="381"/>
      <c r="E273" s="243"/>
      <c r="F273" s="243"/>
      <c r="G273" s="244"/>
      <c r="I27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4" spans="2:9" x14ac:dyDescent="0.25">
      <c r="B274" s="8"/>
      <c r="C274" s="8"/>
      <c r="D274" s="381"/>
      <c r="E274" s="243"/>
      <c r="F274" s="243"/>
      <c r="G274" s="244"/>
      <c r="I27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5" spans="2:9" x14ac:dyDescent="0.25">
      <c r="B275" s="8"/>
      <c r="C275" s="8"/>
      <c r="D275" s="381"/>
      <c r="E275" s="243"/>
      <c r="F275" s="243"/>
      <c r="G275" s="244"/>
      <c r="I27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6" spans="2:9" x14ac:dyDescent="0.25">
      <c r="B276" s="8"/>
      <c r="C276" s="8"/>
      <c r="D276" s="381"/>
      <c r="E276" s="243"/>
      <c r="F276" s="243"/>
      <c r="G276" s="244"/>
      <c r="I27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7" spans="2:9" x14ac:dyDescent="0.25">
      <c r="B277" s="8"/>
      <c r="C277" s="8"/>
      <c r="D277" s="381"/>
      <c r="E277" s="243"/>
      <c r="F277" s="243"/>
      <c r="G277" s="244"/>
      <c r="I27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8" spans="2:9" x14ac:dyDescent="0.25">
      <c r="B278" s="8"/>
      <c r="C278" s="8"/>
      <c r="D278" s="381"/>
      <c r="E278" s="243"/>
      <c r="F278" s="243"/>
      <c r="G278" s="244"/>
      <c r="I27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79" spans="2:9" x14ac:dyDescent="0.25">
      <c r="B279" s="8"/>
      <c r="C279" s="8"/>
      <c r="D279" s="381"/>
      <c r="E279" s="243"/>
      <c r="F279" s="243"/>
      <c r="G279" s="244"/>
      <c r="I27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0" spans="2:9" x14ac:dyDescent="0.25">
      <c r="B280" s="8"/>
      <c r="C280" s="8"/>
      <c r="D280" s="381"/>
      <c r="E280" s="243"/>
      <c r="F280" s="243"/>
      <c r="G280" s="244"/>
      <c r="I28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1" spans="2:9" x14ac:dyDescent="0.25">
      <c r="B281" s="8"/>
      <c r="C281" s="8"/>
      <c r="D281" s="381"/>
      <c r="E281" s="243"/>
      <c r="F281" s="243"/>
      <c r="G281" s="244"/>
      <c r="I28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2" spans="2:9" x14ac:dyDescent="0.25">
      <c r="B282" s="8"/>
      <c r="C282" s="8"/>
      <c r="D282" s="381"/>
      <c r="E282" s="243"/>
      <c r="F282" s="243"/>
      <c r="G282" s="244"/>
      <c r="I28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3" spans="2:9" x14ac:dyDescent="0.25">
      <c r="B283" s="8"/>
      <c r="C283" s="8"/>
      <c r="D283" s="381"/>
      <c r="E283" s="243"/>
      <c r="F283" s="243"/>
      <c r="G283" s="244"/>
      <c r="I28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4" spans="2:9" x14ac:dyDescent="0.25">
      <c r="B284" s="8"/>
      <c r="C284" s="8"/>
      <c r="D284" s="381"/>
      <c r="E284" s="243"/>
      <c r="F284" s="243"/>
      <c r="G284" s="244"/>
      <c r="I28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5" spans="2:9" x14ac:dyDescent="0.25">
      <c r="B285" s="8"/>
      <c r="C285" s="8"/>
      <c r="D285" s="381"/>
      <c r="E285" s="243"/>
      <c r="F285" s="243"/>
      <c r="G285" s="244"/>
      <c r="I28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6" spans="2:9" x14ac:dyDescent="0.25">
      <c r="B286" s="8"/>
      <c r="C286" s="8"/>
      <c r="D286" s="381"/>
      <c r="E286" s="243"/>
      <c r="F286" s="243"/>
      <c r="G286" s="244"/>
      <c r="I28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7" spans="2:9" x14ac:dyDescent="0.25">
      <c r="B287" s="8"/>
      <c r="C287" s="8"/>
      <c r="D287" s="381"/>
      <c r="E287" s="243"/>
      <c r="F287" s="243"/>
      <c r="G287" s="244"/>
      <c r="I28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8" spans="2:9" x14ac:dyDescent="0.25">
      <c r="B288" s="8"/>
      <c r="C288" s="8"/>
      <c r="D288" s="381"/>
      <c r="E288" s="243"/>
      <c r="F288" s="243"/>
      <c r="G288" s="244"/>
      <c r="I28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89" spans="2:9" x14ac:dyDescent="0.25">
      <c r="B289" s="8"/>
      <c r="C289" s="8"/>
      <c r="D289" s="381"/>
      <c r="E289" s="243"/>
      <c r="F289" s="243"/>
      <c r="G289" s="244"/>
      <c r="I28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0" spans="2:9" x14ac:dyDescent="0.25">
      <c r="B290" s="8"/>
      <c r="C290" s="8"/>
      <c r="D290" s="381"/>
      <c r="E290" s="243"/>
      <c r="F290" s="243"/>
      <c r="G290" s="244"/>
      <c r="I29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1" spans="2:9" x14ac:dyDescent="0.25">
      <c r="B291" s="8"/>
      <c r="C291" s="8"/>
      <c r="D291" s="381"/>
      <c r="E291" s="243"/>
      <c r="F291" s="243"/>
      <c r="G291" s="244"/>
      <c r="I29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2" spans="2:9" x14ac:dyDescent="0.25">
      <c r="B292" s="8"/>
      <c r="C292" s="8"/>
      <c r="D292" s="381"/>
      <c r="E292" s="243"/>
      <c r="F292" s="243"/>
      <c r="G292" s="244"/>
      <c r="I29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3" spans="2:9" x14ac:dyDescent="0.25">
      <c r="B293" s="8"/>
      <c r="C293" s="8"/>
      <c r="D293" s="381"/>
      <c r="E293" s="243"/>
      <c r="F293" s="243"/>
      <c r="G293" s="244"/>
      <c r="I29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4" spans="2:9" x14ac:dyDescent="0.25">
      <c r="B294" s="8"/>
      <c r="C294" s="8"/>
      <c r="D294" s="381"/>
      <c r="E294" s="243"/>
      <c r="F294" s="243"/>
      <c r="G294" s="244"/>
      <c r="I29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5" spans="2:9" x14ac:dyDescent="0.25">
      <c r="B295" s="8"/>
      <c r="C295" s="8"/>
      <c r="D295" s="381"/>
      <c r="E295" s="243"/>
      <c r="F295" s="243"/>
      <c r="G295" s="244"/>
      <c r="I29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6" spans="2:9" x14ac:dyDescent="0.25">
      <c r="B296" s="8"/>
      <c r="C296" s="8"/>
      <c r="D296" s="381"/>
      <c r="E296" s="243"/>
      <c r="F296" s="243"/>
      <c r="G296" s="244"/>
      <c r="I29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7" spans="2:9" x14ac:dyDescent="0.25">
      <c r="B297" s="8"/>
      <c r="C297" s="8"/>
      <c r="D297" s="381"/>
      <c r="E297" s="243"/>
      <c r="F297" s="243"/>
      <c r="G297" s="244"/>
      <c r="I29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8" spans="2:9" x14ac:dyDescent="0.25">
      <c r="B298" s="8"/>
      <c r="C298" s="8"/>
      <c r="D298" s="381"/>
      <c r="E298" s="243"/>
      <c r="F298" s="243"/>
      <c r="G298" s="244"/>
      <c r="I29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299" spans="2:9" x14ac:dyDescent="0.25">
      <c r="B299" s="8"/>
      <c r="C299" s="8"/>
      <c r="D299" s="381"/>
      <c r="E299" s="243"/>
      <c r="F299" s="243"/>
      <c r="G299" s="244"/>
      <c r="I29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0" spans="2:9" x14ac:dyDescent="0.25">
      <c r="B300" s="8"/>
      <c r="C300" s="8"/>
      <c r="D300" s="381"/>
      <c r="E300" s="243"/>
      <c r="F300" s="243"/>
      <c r="G300" s="244"/>
      <c r="I30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1" spans="2:9" x14ac:dyDescent="0.25">
      <c r="B301" s="8"/>
      <c r="C301" s="8"/>
      <c r="D301" s="381"/>
      <c r="E301" s="243"/>
      <c r="F301" s="243"/>
      <c r="G301" s="244"/>
      <c r="I30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2" spans="2:9" x14ac:dyDescent="0.25">
      <c r="B302" s="8"/>
      <c r="C302" s="8"/>
      <c r="D302" s="381"/>
      <c r="E302" s="243"/>
      <c r="F302" s="243"/>
      <c r="G302" s="244"/>
      <c r="I30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3" spans="2:9" x14ac:dyDescent="0.25">
      <c r="B303" s="8"/>
      <c r="C303" s="8"/>
      <c r="D303" s="381"/>
      <c r="E303" s="243"/>
      <c r="F303" s="243"/>
      <c r="G303" s="244"/>
      <c r="I30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4" spans="2:9" x14ac:dyDescent="0.25">
      <c r="B304" s="8"/>
      <c r="C304" s="8"/>
      <c r="D304" s="381"/>
      <c r="E304" s="243"/>
      <c r="F304" s="243"/>
      <c r="G304" s="244"/>
      <c r="I30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5" spans="2:9" x14ac:dyDescent="0.25">
      <c r="B305" s="8"/>
      <c r="C305" s="8"/>
      <c r="D305" s="381"/>
      <c r="E305" s="243"/>
      <c r="F305" s="243"/>
      <c r="G305" s="244"/>
      <c r="I30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6" spans="2:9" x14ac:dyDescent="0.25">
      <c r="B306" s="8"/>
      <c r="C306" s="8"/>
      <c r="D306" s="381"/>
      <c r="E306" s="243"/>
      <c r="F306" s="243"/>
      <c r="G306" s="244"/>
      <c r="I30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7" spans="2:9" x14ac:dyDescent="0.25">
      <c r="B307" s="8"/>
      <c r="C307" s="8"/>
      <c r="D307" s="381"/>
      <c r="E307" s="243"/>
      <c r="F307" s="243"/>
      <c r="G307" s="244"/>
      <c r="I30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8" spans="2:9" x14ac:dyDescent="0.25">
      <c r="B308" s="8"/>
      <c r="C308" s="8"/>
      <c r="D308" s="381"/>
      <c r="E308" s="243"/>
      <c r="F308" s="243"/>
      <c r="G308" s="244"/>
      <c r="I30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09" spans="2:9" x14ac:dyDescent="0.25">
      <c r="B309" s="8"/>
      <c r="C309" s="8"/>
      <c r="D309" s="381"/>
      <c r="E309" s="243"/>
      <c r="F309" s="243"/>
      <c r="G309" s="244"/>
      <c r="I30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0" spans="2:9" x14ac:dyDescent="0.25">
      <c r="B310" s="8"/>
      <c r="C310" s="8"/>
      <c r="D310" s="381"/>
      <c r="E310" s="243"/>
      <c r="F310" s="243"/>
      <c r="G310" s="244"/>
      <c r="I31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1" spans="2:9" x14ac:dyDescent="0.25">
      <c r="B311" s="8"/>
      <c r="C311" s="8"/>
      <c r="D311" s="381"/>
      <c r="E311" s="243"/>
      <c r="F311" s="243"/>
      <c r="G311" s="244"/>
      <c r="I31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2" spans="2:9" x14ac:dyDescent="0.25">
      <c r="B312" s="8"/>
      <c r="C312" s="8"/>
      <c r="D312" s="381"/>
      <c r="E312" s="243"/>
      <c r="F312" s="243"/>
      <c r="G312" s="244"/>
      <c r="I31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3" spans="2:9" x14ac:dyDescent="0.25">
      <c r="B313" s="8"/>
      <c r="C313" s="8"/>
      <c r="D313" s="381"/>
      <c r="E313" s="243"/>
      <c r="F313" s="243"/>
      <c r="G313" s="244"/>
      <c r="I31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4" spans="2:9" x14ac:dyDescent="0.25">
      <c r="B314" s="8"/>
      <c r="C314" s="8"/>
      <c r="D314" s="381"/>
      <c r="E314" s="243"/>
      <c r="F314" s="243"/>
      <c r="G314" s="244"/>
      <c r="I31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5" spans="2:9" x14ac:dyDescent="0.25">
      <c r="B315" s="8"/>
      <c r="C315" s="8"/>
      <c r="D315" s="381"/>
      <c r="E315" s="243"/>
      <c r="F315" s="243"/>
      <c r="G315" s="244"/>
      <c r="I31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6" spans="2:9" x14ac:dyDescent="0.25">
      <c r="B316" s="8"/>
      <c r="C316" s="8"/>
      <c r="D316" s="381"/>
      <c r="E316" s="243"/>
      <c r="F316" s="243"/>
      <c r="G316" s="244"/>
      <c r="I31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7" spans="2:9" x14ac:dyDescent="0.25">
      <c r="B317" s="8"/>
      <c r="C317" s="8"/>
      <c r="D317" s="381"/>
      <c r="E317" s="243"/>
      <c r="F317" s="243"/>
      <c r="G317" s="244"/>
      <c r="I31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8" spans="2:9" x14ac:dyDescent="0.25">
      <c r="B318" s="8"/>
      <c r="C318" s="8"/>
      <c r="D318" s="381"/>
      <c r="E318" s="243"/>
      <c r="F318" s="243"/>
      <c r="G318" s="244"/>
      <c r="I31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19" spans="2:9" x14ac:dyDescent="0.25">
      <c r="B319" s="8"/>
      <c r="C319" s="8"/>
      <c r="D319" s="381"/>
      <c r="E319" s="243"/>
      <c r="F319" s="243"/>
      <c r="G319" s="244"/>
      <c r="I31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0" spans="2:9" x14ac:dyDescent="0.25">
      <c r="B320" s="8"/>
      <c r="C320" s="8"/>
      <c r="D320" s="381"/>
      <c r="E320" s="243"/>
      <c r="F320" s="243"/>
      <c r="G320" s="244"/>
      <c r="I32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1" spans="2:9" x14ac:dyDescent="0.25">
      <c r="B321" s="8"/>
      <c r="C321" s="8"/>
      <c r="D321" s="381"/>
      <c r="E321" s="243"/>
      <c r="F321" s="243"/>
      <c r="G321" s="244"/>
      <c r="I32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2" spans="2:9" x14ac:dyDescent="0.25">
      <c r="B322" s="8"/>
      <c r="C322" s="8"/>
      <c r="D322" s="381"/>
      <c r="E322" s="243"/>
      <c r="F322" s="243"/>
      <c r="G322" s="244"/>
      <c r="I32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3" spans="2:9" x14ac:dyDescent="0.25">
      <c r="B323" s="8"/>
      <c r="C323" s="8"/>
      <c r="D323" s="381"/>
      <c r="E323" s="243"/>
      <c r="F323" s="243"/>
      <c r="G323" s="244"/>
      <c r="I32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4" spans="2:9" x14ac:dyDescent="0.25">
      <c r="B324" s="8"/>
      <c r="C324" s="8"/>
      <c r="D324" s="381"/>
      <c r="E324" s="243"/>
      <c r="F324" s="243"/>
      <c r="G324" s="244"/>
      <c r="I32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5" spans="2:9" x14ac:dyDescent="0.25">
      <c r="B325" s="8"/>
      <c r="C325" s="8"/>
      <c r="D325" s="381"/>
      <c r="E325" s="243"/>
      <c r="F325" s="243"/>
      <c r="G325" s="244"/>
      <c r="I32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6" spans="2:9" x14ac:dyDescent="0.25">
      <c r="B326" s="8"/>
      <c r="C326" s="8"/>
      <c r="D326" s="381"/>
      <c r="E326" s="243"/>
      <c r="F326" s="243"/>
      <c r="G326" s="244"/>
      <c r="I32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7" spans="2:9" x14ac:dyDescent="0.25">
      <c r="B327" s="8"/>
      <c r="C327" s="8"/>
      <c r="D327" s="381"/>
      <c r="E327" s="243"/>
      <c r="F327" s="243"/>
      <c r="G327" s="244"/>
      <c r="I32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8" spans="2:9" x14ac:dyDescent="0.25">
      <c r="B328" s="8"/>
      <c r="C328" s="8"/>
      <c r="D328" s="381"/>
      <c r="E328" s="243"/>
      <c r="F328" s="243"/>
      <c r="G328" s="244"/>
      <c r="I32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29" spans="2:9" x14ac:dyDescent="0.25">
      <c r="B329" s="8"/>
      <c r="C329" s="8"/>
      <c r="D329" s="381"/>
      <c r="E329" s="243"/>
      <c r="F329" s="243"/>
      <c r="G329" s="244"/>
      <c r="I32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0" spans="2:9" x14ac:dyDescent="0.25">
      <c r="B330" s="8"/>
      <c r="C330" s="8"/>
      <c r="D330" s="381"/>
      <c r="E330" s="243"/>
      <c r="F330" s="243"/>
      <c r="G330" s="244"/>
      <c r="I33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1" spans="2:9" x14ac:dyDescent="0.25">
      <c r="B331" s="8"/>
      <c r="C331" s="8"/>
      <c r="D331" s="381"/>
      <c r="E331" s="243"/>
      <c r="F331" s="243"/>
      <c r="G331" s="244"/>
      <c r="I33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2" spans="2:9" x14ac:dyDescent="0.25">
      <c r="B332" s="8"/>
      <c r="C332" s="8"/>
      <c r="D332" s="381"/>
      <c r="E332" s="243"/>
      <c r="F332" s="243"/>
      <c r="G332" s="244"/>
      <c r="I33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3" spans="2:9" x14ac:dyDescent="0.25">
      <c r="B333" s="8"/>
      <c r="C333" s="8"/>
      <c r="D333" s="381"/>
      <c r="E333" s="243"/>
      <c r="F333" s="243"/>
      <c r="G333" s="244"/>
      <c r="I33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4" spans="2:9" x14ac:dyDescent="0.25">
      <c r="B334" s="8"/>
      <c r="C334" s="8"/>
      <c r="D334" s="381"/>
      <c r="E334" s="243"/>
      <c r="F334" s="243"/>
      <c r="G334" s="244"/>
      <c r="I33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5" spans="2:9" x14ac:dyDescent="0.25">
      <c r="B335" s="8"/>
      <c r="C335" s="8"/>
      <c r="D335" s="381"/>
      <c r="E335" s="243"/>
      <c r="F335" s="243"/>
      <c r="G335" s="244"/>
      <c r="I33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6" spans="2:9" x14ac:dyDescent="0.25">
      <c r="B336" s="8"/>
      <c r="C336" s="8"/>
      <c r="D336" s="381"/>
      <c r="E336" s="243"/>
      <c r="F336" s="243"/>
      <c r="G336" s="244"/>
      <c r="I33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7" spans="2:9" x14ac:dyDescent="0.25">
      <c r="B337" s="8"/>
      <c r="C337" s="8"/>
      <c r="D337" s="381"/>
      <c r="E337" s="243"/>
      <c r="F337" s="243"/>
      <c r="G337" s="244"/>
      <c r="I33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8" spans="2:9" x14ac:dyDescent="0.25">
      <c r="B338" s="8"/>
      <c r="C338" s="8"/>
      <c r="D338" s="381"/>
      <c r="E338" s="243"/>
      <c r="F338" s="243"/>
      <c r="G338" s="244"/>
      <c r="I33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39" spans="2:9" x14ac:dyDescent="0.25">
      <c r="B339" s="8"/>
      <c r="C339" s="8"/>
      <c r="D339" s="381"/>
      <c r="E339" s="243"/>
      <c r="F339" s="243"/>
      <c r="G339" s="244"/>
      <c r="I33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0" spans="2:9" x14ac:dyDescent="0.25">
      <c r="B340" s="8"/>
      <c r="C340" s="8"/>
      <c r="D340" s="381"/>
      <c r="E340" s="243"/>
      <c r="F340" s="243"/>
      <c r="G340" s="244"/>
      <c r="I34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1" spans="2:9" x14ac:dyDescent="0.25">
      <c r="B341" s="8"/>
      <c r="C341" s="8"/>
      <c r="D341" s="381"/>
      <c r="E341" s="243"/>
      <c r="F341" s="243"/>
      <c r="G341" s="244"/>
      <c r="I34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2" spans="2:9" x14ac:dyDescent="0.25">
      <c r="B342" s="8"/>
      <c r="C342" s="8"/>
      <c r="D342" s="381"/>
      <c r="E342" s="243"/>
      <c r="F342" s="243"/>
      <c r="G342" s="244"/>
      <c r="I34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3" spans="2:9" x14ac:dyDescent="0.25">
      <c r="B343" s="8"/>
      <c r="C343" s="8"/>
      <c r="D343" s="381"/>
      <c r="E343" s="243"/>
      <c r="F343" s="243"/>
      <c r="G343" s="244"/>
      <c r="I34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4" spans="2:9" x14ac:dyDescent="0.25">
      <c r="B344" s="8"/>
      <c r="C344" s="8"/>
      <c r="D344" s="381"/>
      <c r="E344" s="243"/>
      <c r="F344" s="243"/>
      <c r="G344" s="244"/>
      <c r="I34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5" spans="2:9" x14ac:dyDescent="0.25">
      <c r="B345" s="8"/>
      <c r="C345" s="8"/>
      <c r="D345" s="381"/>
      <c r="E345" s="243"/>
      <c r="F345" s="243"/>
      <c r="G345" s="244"/>
      <c r="I34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6" spans="2:9" x14ac:dyDescent="0.25">
      <c r="B346" s="8"/>
      <c r="C346" s="8"/>
      <c r="D346" s="381"/>
      <c r="E346" s="243"/>
      <c r="F346" s="243"/>
      <c r="G346" s="244"/>
      <c r="I34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7" spans="2:9" x14ac:dyDescent="0.25">
      <c r="B347" s="8"/>
      <c r="C347" s="8"/>
      <c r="D347" s="381"/>
      <c r="E347" s="243"/>
      <c r="F347" s="243"/>
      <c r="G347" s="244"/>
      <c r="I34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8" spans="2:9" x14ac:dyDescent="0.25">
      <c r="B348" s="8"/>
      <c r="C348" s="8"/>
      <c r="D348" s="381"/>
      <c r="E348" s="243"/>
      <c r="F348" s="243"/>
      <c r="G348" s="244"/>
      <c r="I34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49" spans="2:9" x14ac:dyDescent="0.25">
      <c r="B349" s="8"/>
      <c r="C349" s="8"/>
      <c r="D349" s="381"/>
      <c r="E349" s="243"/>
      <c r="F349" s="243"/>
      <c r="G349" s="244"/>
      <c r="I34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0" spans="2:9" x14ac:dyDescent="0.25">
      <c r="B350" s="8"/>
      <c r="C350" s="8"/>
      <c r="D350" s="381"/>
      <c r="E350" s="243"/>
      <c r="F350" s="243"/>
      <c r="G350" s="244"/>
      <c r="I35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1" spans="2:9" x14ac:dyDescent="0.25">
      <c r="B351" s="8"/>
      <c r="C351" s="8"/>
      <c r="D351" s="381"/>
      <c r="E351" s="243"/>
      <c r="F351" s="243"/>
      <c r="G351" s="244"/>
      <c r="I35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2" spans="2:9" x14ac:dyDescent="0.25">
      <c r="B352" s="8"/>
      <c r="C352" s="8"/>
      <c r="D352" s="381"/>
      <c r="E352" s="243"/>
      <c r="F352" s="243"/>
      <c r="G352" s="244"/>
      <c r="I35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3" spans="2:9" x14ac:dyDescent="0.25">
      <c r="B353" s="8"/>
      <c r="C353" s="8"/>
      <c r="D353" s="381"/>
      <c r="E353" s="243"/>
      <c r="F353" s="243"/>
      <c r="G353" s="244"/>
      <c r="I35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4" spans="2:9" x14ac:dyDescent="0.25">
      <c r="B354" s="8"/>
      <c r="C354" s="8"/>
      <c r="D354" s="381"/>
      <c r="E354" s="243"/>
      <c r="F354" s="243"/>
      <c r="G354" s="244"/>
      <c r="I35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5" spans="2:9" x14ac:dyDescent="0.25">
      <c r="B355" s="8"/>
      <c r="C355" s="8"/>
      <c r="D355" s="381"/>
      <c r="E355" s="243"/>
      <c r="F355" s="243"/>
      <c r="G355" s="244"/>
      <c r="I35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6" spans="2:9" x14ac:dyDescent="0.25">
      <c r="B356" s="8"/>
      <c r="C356" s="8"/>
      <c r="D356" s="381"/>
      <c r="E356" s="243"/>
      <c r="F356" s="243"/>
      <c r="G356" s="244"/>
      <c r="I35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7" spans="2:9" x14ac:dyDescent="0.25">
      <c r="B357" s="8"/>
      <c r="C357" s="8"/>
      <c r="D357" s="381"/>
      <c r="E357" s="243"/>
      <c r="F357" s="243"/>
      <c r="G357" s="244"/>
      <c r="I35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8" spans="2:9" x14ac:dyDescent="0.25">
      <c r="B358" s="8"/>
      <c r="C358" s="8"/>
      <c r="D358" s="381"/>
      <c r="E358" s="243"/>
      <c r="F358" s="243"/>
      <c r="G358" s="244"/>
      <c r="I35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59" spans="2:9" x14ac:dyDescent="0.25">
      <c r="B359" s="8"/>
      <c r="C359" s="8"/>
      <c r="D359" s="381"/>
      <c r="E359" s="243"/>
      <c r="F359" s="243"/>
      <c r="G359" s="244"/>
      <c r="I35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0" spans="2:9" x14ac:dyDescent="0.25">
      <c r="B360" s="8"/>
      <c r="C360" s="8"/>
      <c r="D360" s="381"/>
      <c r="E360" s="243"/>
      <c r="F360" s="243"/>
      <c r="G360" s="244"/>
      <c r="I36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1" spans="2:9" x14ac:dyDescent="0.25">
      <c r="B361" s="8"/>
      <c r="C361" s="8"/>
      <c r="D361" s="381"/>
      <c r="E361" s="243"/>
      <c r="F361" s="243"/>
      <c r="G361" s="244"/>
      <c r="I36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2" spans="2:9" x14ac:dyDescent="0.25">
      <c r="B362" s="8"/>
      <c r="C362" s="8"/>
      <c r="D362" s="381"/>
      <c r="E362" s="243"/>
      <c r="F362" s="243"/>
      <c r="G362" s="244"/>
      <c r="I36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3" spans="2:9" x14ac:dyDescent="0.25">
      <c r="B363" s="8"/>
      <c r="C363" s="8"/>
      <c r="D363" s="381"/>
      <c r="E363" s="243"/>
      <c r="F363" s="243"/>
      <c r="G363" s="244"/>
      <c r="I36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4" spans="2:9" x14ac:dyDescent="0.25">
      <c r="B364" s="8"/>
      <c r="C364" s="8"/>
      <c r="D364" s="381"/>
      <c r="E364" s="243"/>
      <c r="F364" s="243"/>
      <c r="G364" s="244"/>
      <c r="I36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5" spans="2:9" x14ac:dyDescent="0.25">
      <c r="B365" s="8"/>
      <c r="C365" s="8"/>
      <c r="D365" s="381"/>
      <c r="E365" s="243"/>
      <c r="F365" s="243"/>
      <c r="G365" s="244"/>
      <c r="I36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6" spans="2:9" x14ac:dyDescent="0.25">
      <c r="B366" s="8"/>
      <c r="C366" s="8"/>
      <c r="D366" s="381"/>
      <c r="E366" s="243"/>
      <c r="F366" s="243"/>
      <c r="G366" s="244"/>
      <c r="I36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7" spans="2:9" x14ac:dyDescent="0.25">
      <c r="B367" s="8"/>
      <c r="C367" s="8"/>
      <c r="D367" s="381"/>
      <c r="E367" s="243"/>
      <c r="F367" s="243"/>
      <c r="G367" s="244"/>
      <c r="I36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8" spans="2:9" x14ac:dyDescent="0.25">
      <c r="B368" s="8"/>
      <c r="C368" s="8"/>
      <c r="D368" s="381"/>
      <c r="E368" s="243"/>
      <c r="F368" s="243"/>
      <c r="G368" s="244"/>
      <c r="I36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69" spans="2:9" x14ac:dyDescent="0.25">
      <c r="B369" s="8"/>
      <c r="C369" s="8"/>
      <c r="D369" s="381"/>
      <c r="E369" s="243"/>
      <c r="F369" s="243"/>
      <c r="G369" s="244"/>
      <c r="I36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0" spans="2:9" x14ac:dyDescent="0.25">
      <c r="B370" s="8"/>
      <c r="C370" s="8"/>
      <c r="D370" s="381"/>
      <c r="E370" s="243"/>
      <c r="F370" s="243"/>
      <c r="G370" s="244"/>
      <c r="I37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1" spans="2:9" x14ac:dyDescent="0.25">
      <c r="B371" s="8"/>
      <c r="C371" s="8"/>
      <c r="D371" s="381"/>
      <c r="E371" s="243"/>
      <c r="F371" s="243"/>
      <c r="G371" s="244"/>
      <c r="I37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2" spans="2:9" x14ac:dyDescent="0.25">
      <c r="B372" s="8"/>
      <c r="C372" s="8"/>
      <c r="D372" s="381"/>
      <c r="E372" s="243"/>
      <c r="F372" s="243"/>
      <c r="G372" s="244"/>
      <c r="I37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3" spans="2:9" x14ac:dyDescent="0.25">
      <c r="B373" s="8"/>
      <c r="C373" s="8"/>
      <c r="D373" s="381"/>
      <c r="E373" s="243"/>
      <c r="F373" s="243"/>
      <c r="G373" s="244"/>
      <c r="I37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4" spans="2:9" x14ac:dyDescent="0.25">
      <c r="B374" s="8"/>
      <c r="C374" s="8"/>
      <c r="D374" s="381"/>
      <c r="E374" s="243"/>
      <c r="F374" s="243"/>
      <c r="G374" s="244"/>
      <c r="I37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5" spans="2:9" x14ac:dyDescent="0.25">
      <c r="B375" s="8"/>
      <c r="C375" s="8"/>
      <c r="D375" s="381"/>
      <c r="E375" s="243"/>
      <c r="F375" s="243"/>
      <c r="G375" s="244"/>
      <c r="I37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6" spans="2:9" x14ac:dyDescent="0.25">
      <c r="B376" s="8"/>
      <c r="C376" s="8"/>
      <c r="D376" s="381"/>
      <c r="E376" s="243"/>
      <c r="F376" s="243"/>
      <c r="G376" s="244"/>
      <c r="I37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7" spans="2:9" x14ac:dyDescent="0.25">
      <c r="B377" s="8"/>
      <c r="C377" s="8"/>
      <c r="D377" s="381"/>
      <c r="E377" s="243"/>
      <c r="F377" s="243"/>
      <c r="G377" s="244"/>
      <c r="I37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8" spans="2:9" x14ac:dyDescent="0.25">
      <c r="B378" s="8"/>
      <c r="C378" s="8"/>
      <c r="D378" s="381"/>
      <c r="E378" s="243"/>
      <c r="F378" s="243"/>
      <c r="G378" s="244"/>
      <c r="I37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79" spans="2:9" x14ac:dyDescent="0.25">
      <c r="B379" s="8"/>
      <c r="C379" s="8"/>
      <c r="D379" s="381"/>
      <c r="E379" s="243"/>
      <c r="F379" s="243"/>
      <c r="G379" s="244"/>
      <c r="I37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0" spans="2:9" x14ac:dyDescent="0.25">
      <c r="B380" s="8"/>
      <c r="C380" s="8"/>
      <c r="D380" s="381"/>
      <c r="E380" s="243"/>
      <c r="F380" s="243"/>
      <c r="G380" s="244"/>
      <c r="I38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1" spans="2:9" x14ac:dyDescent="0.25">
      <c r="B381" s="8"/>
      <c r="C381" s="8"/>
      <c r="D381" s="381"/>
      <c r="E381" s="243"/>
      <c r="F381" s="243"/>
      <c r="G381" s="244"/>
      <c r="I38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2" spans="2:9" x14ac:dyDescent="0.25">
      <c r="B382" s="8"/>
      <c r="C382" s="8"/>
      <c r="D382" s="381"/>
      <c r="E382" s="243"/>
      <c r="F382" s="243"/>
      <c r="G382" s="244"/>
      <c r="I38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3" spans="2:9" x14ac:dyDescent="0.25">
      <c r="B383" s="8"/>
      <c r="C383" s="8"/>
      <c r="D383" s="381"/>
      <c r="E383" s="243"/>
      <c r="F383" s="243"/>
      <c r="G383" s="244"/>
      <c r="I38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4" spans="2:9" x14ac:dyDescent="0.25">
      <c r="B384" s="8"/>
      <c r="C384" s="8"/>
      <c r="D384" s="381"/>
      <c r="E384" s="243"/>
      <c r="F384" s="243"/>
      <c r="G384" s="244"/>
      <c r="I38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5" spans="2:9" x14ac:dyDescent="0.25">
      <c r="B385" s="8"/>
      <c r="C385" s="8"/>
      <c r="D385" s="381"/>
      <c r="E385" s="243"/>
      <c r="F385" s="243"/>
      <c r="G385" s="244"/>
      <c r="I38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6" spans="2:9" x14ac:dyDescent="0.25">
      <c r="B386" s="8"/>
      <c r="C386" s="8"/>
      <c r="D386" s="381"/>
      <c r="E386" s="243"/>
      <c r="F386" s="243"/>
      <c r="G386" s="244"/>
      <c r="I38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7" spans="2:9" x14ac:dyDescent="0.25">
      <c r="B387" s="8"/>
      <c r="C387" s="8"/>
      <c r="D387" s="381"/>
      <c r="E387" s="243"/>
      <c r="F387" s="243"/>
      <c r="G387" s="244"/>
      <c r="I38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8" spans="2:9" x14ac:dyDescent="0.25">
      <c r="B388" s="8"/>
      <c r="C388" s="8"/>
      <c r="D388" s="381"/>
      <c r="E388" s="243"/>
      <c r="F388" s="243"/>
      <c r="G388" s="244"/>
      <c r="I38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89" spans="2:9" x14ac:dyDescent="0.25">
      <c r="B389" s="8"/>
      <c r="C389" s="8"/>
      <c r="D389" s="381"/>
      <c r="E389" s="243"/>
      <c r="F389" s="243"/>
      <c r="G389" s="244"/>
      <c r="I38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0" spans="2:9" x14ac:dyDescent="0.25">
      <c r="B390" s="8"/>
      <c r="C390" s="8"/>
      <c r="D390" s="381"/>
      <c r="E390" s="243"/>
      <c r="F390" s="243"/>
      <c r="G390" s="244"/>
      <c r="I39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1" spans="2:9" x14ac:dyDescent="0.25">
      <c r="B391" s="8"/>
      <c r="C391" s="8"/>
      <c r="D391" s="381"/>
      <c r="E391" s="243"/>
      <c r="F391" s="243"/>
      <c r="G391" s="244"/>
      <c r="I39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2" spans="2:9" x14ac:dyDescent="0.25">
      <c r="B392" s="8"/>
      <c r="C392" s="8"/>
      <c r="D392" s="381"/>
      <c r="E392" s="243"/>
      <c r="F392" s="243"/>
      <c r="G392" s="244"/>
      <c r="I39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3" spans="2:9" x14ac:dyDescent="0.25">
      <c r="B393" s="8"/>
      <c r="C393" s="8"/>
      <c r="D393" s="381"/>
      <c r="E393" s="243"/>
      <c r="F393" s="243"/>
      <c r="G393" s="244"/>
      <c r="I39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4" spans="2:9" x14ac:dyDescent="0.25">
      <c r="B394" s="8"/>
      <c r="C394" s="8"/>
      <c r="D394" s="381"/>
      <c r="E394" s="243"/>
      <c r="F394" s="243"/>
      <c r="G394" s="244"/>
      <c r="I39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5" spans="2:9" x14ac:dyDescent="0.25">
      <c r="B395" s="8"/>
      <c r="C395" s="8"/>
      <c r="D395" s="381"/>
      <c r="E395" s="243"/>
      <c r="F395" s="243"/>
      <c r="G395" s="244"/>
      <c r="I39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6" spans="2:9" x14ac:dyDescent="0.25">
      <c r="B396" s="8"/>
      <c r="C396" s="8"/>
      <c r="D396" s="381"/>
      <c r="E396" s="243"/>
      <c r="F396" s="243"/>
      <c r="G396" s="244"/>
      <c r="I39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7" spans="2:9" x14ac:dyDescent="0.25">
      <c r="B397" s="8"/>
      <c r="C397" s="8"/>
      <c r="D397" s="381"/>
      <c r="E397" s="243"/>
      <c r="F397" s="243"/>
      <c r="G397" s="244"/>
      <c r="I39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8" spans="2:9" x14ac:dyDescent="0.25">
      <c r="B398" s="8"/>
      <c r="C398" s="8"/>
      <c r="D398" s="381"/>
      <c r="E398" s="243"/>
      <c r="F398" s="243"/>
      <c r="G398" s="244"/>
      <c r="I39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399" spans="2:9" x14ac:dyDescent="0.25">
      <c r="B399" s="8"/>
      <c r="C399" s="8"/>
      <c r="D399" s="381"/>
      <c r="E399" s="243"/>
      <c r="F399" s="243"/>
      <c r="G399" s="244"/>
      <c r="I39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0" spans="2:9" x14ac:dyDescent="0.25">
      <c r="B400" s="8"/>
      <c r="C400" s="8"/>
      <c r="D400" s="381"/>
      <c r="E400" s="243"/>
      <c r="F400" s="243"/>
      <c r="G400" s="244"/>
      <c r="I40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1" spans="2:9" x14ac:dyDescent="0.25">
      <c r="B401" s="8"/>
      <c r="C401" s="8"/>
      <c r="D401" s="381"/>
      <c r="E401" s="243"/>
      <c r="F401" s="243"/>
      <c r="G401" s="244"/>
      <c r="I40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2" spans="2:9" x14ac:dyDescent="0.25">
      <c r="B402" s="8"/>
      <c r="C402" s="8"/>
      <c r="D402" s="381"/>
      <c r="E402" s="243"/>
      <c r="F402" s="243"/>
      <c r="G402" s="244"/>
      <c r="I40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3" spans="2:9" x14ac:dyDescent="0.25">
      <c r="B403" s="8"/>
      <c r="C403" s="8"/>
      <c r="D403" s="381"/>
      <c r="E403" s="243"/>
      <c r="F403" s="243"/>
      <c r="G403" s="244"/>
      <c r="I40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4" spans="2:9" x14ac:dyDescent="0.25">
      <c r="B404" s="8"/>
      <c r="C404" s="8"/>
      <c r="D404" s="381"/>
      <c r="E404" s="243"/>
      <c r="F404" s="243"/>
      <c r="G404" s="244"/>
      <c r="I40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5" spans="2:9" x14ac:dyDescent="0.25">
      <c r="B405" s="8"/>
      <c r="C405" s="8"/>
      <c r="D405" s="381"/>
      <c r="E405" s="243"/>
      <c r="F405" s="243"/>
      <c r="G405" s="244"/>
      <c r="I40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6" spans="2:9" x14ac:dyDescent="0.25">
      <c r="B406" s="8"/>
      <c r="C406" s="8"/>
      <c r="D406" s="381"/>
      <c r="E406" s="243"/>
      <c r="F406" s="243"/>
      <c r="G406" s="244"/>
      <c r="I40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7" spans="2:9" x14ac:dyDescent="0.25">
      <c r="B407" s="8"/>
      <c r="C407" s="8"/>
      <c r="D407" s="381"/>
      <c r="E407" s="243"/>
      <c r="F407" s="243"/>
      <c r="G407" s="244"/>
      <c r="I40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8" spans="2:9" x14ac:dyDescent="0.25">
      <c r="B408" s="8"/>
      <c r="C408" s="8"/>
      <c r="D408" s="381"/>
      <c r="E408" s="243"/>
      <c r="F408" s="243"/>
      <c r="G408" s="244"/>
      <c r="I40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09" spans="2:9" x14ac:dyDescent="0.25">
      <c r="B409" s="8"/>
      <c r="C409" s="8"/>
      <c r="D409" s="381"/>
      <c r="E409" s="243"/>
      <c r="F409" s="243"/>
      <c r="G409" s="244"/>
      <c r="I40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0" spans="2:9" x14ac:dyDescent="0.25">
      <c r="B410" s="8"/>
      <c r="C410" s="8"/>
      <c r="D410" s="381"/>
      <c r="E410" s="243"/>
      <c r="F410" s="243"/>
      <c r="G410" s="244"/>
      <c r="I41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1" spans="2:9" x14ac:dyDescent="0.25">
      <c r="B411" s="8"/>
      <c r="C411" s="8"/>
      <c r="D411" s="381"/>
      <c r="E411" s="243"/>
      <c r="F411" s="243"/>
      <c r="G411" s="244"/>
      <c r="I41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2" spans="2:9" x14ac:dyDescent="0.25">
      <c r="B412" s="8"/>
      <c r="C412" s="8"/>
      <c r="D412" s="381"/>
      <c r="E412" s="243"/>
      <c r="F412" s="243"/>
      <c r="G412" s="244"/>
      <c r="I41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3" spans="2:9" x14ac:dyDescent="0.25">
      <c r="B413" s="8"/>
      <c r="C413" s="8"/>
      <c r="D413" s="381"/>
      <c r="E413" s="243"/>
      <c r="F413" s="243"/>
      <c r="G413" s="244"/>
      <c r="I41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4" spans="2:9" x14ac:dyDescent="0.25">
      <c r="B414" s="8"/>
      <c r="C414" s="8"/>
      <c r="D414" s="381"/>
      <c r="E414" s="243"/>
      <c r="F414" s="243"/>
      <c r="G414" s="244"/>
      <c r="I41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5" spans="2:9" x14ac:dyDescent="0.25">
      <c r="B415" s="8"/>
      <c r="C415" s="8"/>
      <c r="D415" s="381"/>
      <c r="E415" s="243"/>
      <c r="F415" s="243"/>
      <c r="G415" s="244"/>
      <c r="I41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6" spans="2:9" x14ac:dyDescent="0.25">
      <c r="B416" s="8"/>
      <c r="C416" s="8"/>
      <c r="D416" s="381"/>
      <c r="E416" s="243"/>
      <c r="F416" s="243"/>
      <c r="G416" s="244"/>
      <c r="I41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7" spans="2:9" x14ac:dyDescent="0.25">
      <c r="B417" s="8"/>
      <c r="C417" s="8"/>
      <c r="D417" s="381"/>
      <c r="E417" s="243"/>
      <c r="F417" s="243"/>
      <c r="G417" s="244"/>
      <c r="I41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8" spans="2:9" x14ac:dyDescent="0.25">
      <c r="B418" s="8"/>
      <c r="C418" s="8"/>
      <c r="D418" s="381"/>
      <c r="E418" s="243"/>
      <c r="F418" s="243"/>
      <c r="G418" s="244"/>
      <c r="I41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19" spans="2:9" x14ac:dyDescent="0.25">
      <c r="B419" s="8"/>
      <c r="C419" s="8"/>
      <c r="D419" s="381"/>
      <c r="E419" s="243"/>
      <c r="F419" s="243"/>
      <c r="G419" s="244"/>
      <c r="I41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0" spans="2:9" x14ac:dyDescent="0.25">
      <c r="B420" s="8"/>
      <c r="C420" s="8"/>
      <c r="D420" s="381"/>
      <c r="E420" s="243"/>
      <c r="F420" s="243"/>
      <c r="G420" s="244"/>
      <c r="I42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1" spans="2:9" x14ac:dyDescent="0.25">
      <c r="B421" s="8"/>
      <c r="C421" s="8"/>
      <c r="D421" s="381"/>
      <c r="E421" s="243"/>
      <c r="F421" s="243"/>
      <c r="G421" s="244"/>
      <c r="I42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2" spans="2:9" x14ac:dyDescent="0.25">
      <c r="B422" s="8"/>
      <c r="C422" s="8"/>
      <c r="D422" s="381"/>
      <c r="E422" s="243"/>
      <c r="F422" s="243"/>
      <c r="G422" s="244"/>
      <c r="I42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3" spans="2:9" x14ac:dyDescent="0.25">
      <c r="B423" s="8"/>
      <c r="C423" s="8"/>
      <c r="D423" s="381"/>
      <c r="E423" s="243"/>
      <c r="F423" s="243"/>
      <c r="G423" s="244"/>
      <c r="I42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4" spans="2:9" x14ac:dyDescent="0.25">
      <c r="B424" s="8"/>
      <c r="C424" s="8"/>
      <c r="D424" s="381"/>
      <c r="E424" s="243"/>
      <c r="F424" s="243"/>
      <c r="G424" s="244"/>
      <c r="I42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5" spans="2:9" x14ac:dyDescent="0.25">
      <c r="B425" s="8"/>
      <c r="C425" s="8"/>
      <c r="D425" s="381"/>
      <c r="E425" s="243"/>
      <c r="F425" s="243"/>
      <c r="G425" s="244"/>
      <c r="I42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6" spans="2:9" x14ac:dyDescent="0.25">
      <c r="B426" s="8"/>
      <c r="C426" s="8"/>
      <c r="D426" s="381"/>
      <c r="E426" s="243"/>
      <c r="F426" s="243"/>
      <c r="G426" s="244"/>
      <c r="I42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7" spans="2:9" x14ac:dyDescent="0.25">
      <c r="B427" s="8"/>
      <c r="C427" s="8"/>
      <c r="D427" s="381"/>
      <c r="E427" s="243"/>
      <c r="F427" s="243"/>
      <c r="G427" s="244"/>
      <c r="I42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8" spans="2:9" x14ac:dyDescent="0.25">
      <c r="B428" s="8"/>
      <c r="C428" s="8"/>
      <c r="D428" s="381"/>
      <c r="E428" s="243"/>
      <c r="F428" s="243"/>
      <c r="G428" s="244"/>
      <c r="I42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29" spans="2:9" x14ac:dyDescent="0.25">
      <c r="B429" s="8"/>
      <c r="C429" s="8"/>
      <c r="D429" s="381"/>
      <c r="E429" s="243"/>
      <c r="F429" s="243"/>
      <c r="G429" s="244"/>
      <c r="I42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0" spans="2:9" x14ac:dyDescent="0.25">
      <c r="B430" s="8"/>
      <c r="C430" s="8"/>
      <c r="D430" s="381"/>
      <c r="E430" s="243"/>
      <c r="F430" s="243"/>
      <c r="G430" s="244"/>
      <c r="I43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1" spans="2:9" x14ac:dyDescent="0.25">
      <c r="B431" s="8"/>
      <c r="C431" s="8"/>
      <c r="D431" s="381"/>
      <c r="E431" s="243"/>
      <c r="F431" s="243"/>
      <c r="G431" s="244"/>
      <c r="I43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2" spans="2:9" x14ac:dyDescent="0.25">
      <c r="B432" s="8"/>
      <c r="C432" s="8"/>
      <c r="D432" s="381"/>
      <c r="E432" s="243"/>
      <c r="F432" s="243"/>
      <c r="G432" s="244"/>
      <c r="I43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3" spans="2:9" x14ac:dyDescent="0.25">
      <c r="B433" s="8"/>
      <c r="C433" s="8"/>
      <c r="D433" s="381"/>
      <c r="E433" s="243"/>
      <c r="F433" s="243"/>
      <c r="G433" s="244"/>
      <c r="I43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4" spans="2:9" x14ac:dyDescent="0.25">
      <c r="B434" s="8"/>
      <c r="C434" s="8"/>
      <c r="D434" s="381"/>
      <c r="E434" s="243"/>
      <c r="F434" s="243"/>
      <c r="G434" s="244"/>
      <c r="I43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5" spans="2:9" x14ac:dyDescent="0.25">
      <c r="B435" s="8"/>
      <c r="C435" s="8"/>
      <c r="D435" s="381"/>
      <c r="E435" s="243"/>
      <c r="F435" s="243"/>
      <c r="G435" s="244"/>
      <c r="I43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6" spans="2:9" x14ac:dyDescent="0.25">
      <c r="B436" s="8"/>
      <c r="C436" s="8"/>
      <c r="D436" s="381"/>
      <c r="E436" s="243"/>
      <c r="F436" s="243"/>
      <c r="G436" s="244"/>
      <c r="I43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7" spans="2:9" x14ac:dyDescent="0.25">
      <c r="B437" s="8"/>
      <c r="C437" s="8"/>
      <c r="D437" s="381"/>
      <c r="E437" s="243"/>
      <c r="F437" s="243"/>
      <c r="G437" s="244"/>
      <c r="I43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8" spans="2:9" x14ac:dyDescent="0.25">
      <c r="B438" s="8"/>
      <c r="C438" s="8"/>
      <c r="D438" s="381"/>
      <c r="E438" s="243"/>
      <c r="F438" s="243"/>
      <c r="G438" s="244"/>
      <c r="I43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39" spans="2:9" x14ac:dyDescent="0.25">
      <c r="B439" s="8"/>
      <c r="C439" s="8"/>
      <c r="D439" s="381"/>
      <c r="E439" s="243"/>
      <c r="F439" s="243"/>
      <c r="G439" s="244"/>
      <c r="I43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0" spans="2:9" x14ac:dyDescent="0.25">
      <c r="B440" s="8"/>
      <c r="C440" s="8"/>
      <c r="D440" s="381"/>
      <c r="E440" s="243"/>
      <c r="F440" s="243"/>
      <c r="G440" s="244"/>
      <c r="I44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1" spans="2:9" x14ac:dyDescent="0.25">
      <c r="B441" s="8"/>
      <c r="C441" s="8"/>
      <c r="D441" s="381"/>
      <c r="E441" s="243"/>
      <c r="F441" s="243"/>
      <c r="G441" s="244"/>
      <c r="I44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2" spans="2:9" x14ac:dyDescent="0.25">
      <c r="B442" s="8"/>
      <c r="C442" s="8"/>
      <c r="D442" s="381"/>
      <c r="E442" s="243"/>
      <c r="F442" s="243"/>
      <c r="G442" s="244"/>
      <c r="I44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3" spans="2:9" x14ac:dyDescent="0.25">
      <c r="B443" s="8"/>
      <c r="C443" s="8"/>
      <c r="D443" s="381"/>
      <c r="E443" s="243"/>
      <c r="F443" s="243"/>
      <c r="G443" s="244"/>
      <c r="I44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4" spans="2:9" x14ac:dyDescent="0.25">
      <c r="B444" s="8"/>
      <c r="C444" s="8"/>
      <c r="D444" s="381"/>
      <c r="E444" s="243"/>
      <c r="F444" s="243"/>
      <c r="G444" s="244"/>
      <c r="I44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5" spans="2:9" x14ac:dyDescent="0.25">
      <c r="B445" s="8"/>
      <c r="C445" s="8"/>
      <c r="D445" s="381"/>
      <c r="E445" s="243"/>
      <c r="F445" s="243"/>
      <c r="G445" s="244"/>
      <c r="I44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6" spans="2:9" x14ac:dyDescent="0.25">
      <c r="B446" s="8"/>
      <c r="C446" s="8"/>
      <c r="D446" s="381"/>
      <c r="E446" s="243"/>
      <c r="F446" s="243"/>
      <c r="G446" s="244"/>
      <c r="I44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7" spans="2:9" x14ac:dyDescent="0.25">
      <c r="B447" s="8"/>
      <c r="C447" s="8"/>
      <c r="D447" s="381"/>
      <c r="E447" s="243"/>
      <c r="F447" s="243"/>
      <c r="G447" s="244"/>
      <c r="I44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8" spans="2:9" x14ac:dyDescent="0.25">
      <c r="B448" s="8"/>
      <c r="C448" s="8"/>
      <c r="D448" s="381"/>
      <c r="E448" s="243"/>
      <c r="F448" s="243"/>
      <c r="G448" s="244"/>
      <c r="I44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49" spans="2:9" x14ac:dyDescent="0.25">
      <c r="B449" s="8"/>
      <c r="C449" s="8"/>
      <c r="D449" s="381"/>
      <c r="E449" s="243"/>
      <c r="F449" s="243"/>
      <c r="G449" s="244"/>
      <c r="I44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0" spans="2:9" x14ac:dyDescent="0.25">
      <c r="B450" s="8"/>
      <c r="C450" s="8"/>
      <c r="D450" s="381"/>
      <c r="E450" s="243"/>
      <c r="F450" s="243"/>
      <c r="G450" s="244"/>
      <c r="I45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1" spans="2:9" x14ac:dyDescent="0.25">
      <c r="B451" s="8"/>
      <c r="C451" s="8"/>
      <c r="D451" s="381"/>
      <c r="E451" s="243"/>
      <c r="F451" s="243"/>
      <c r="G451" s="244"/>
      <c r="I45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2" spans="2:9" x14ac:dyDescent="0.25">
      <c r="B452" s="8"/>
      <c r="C452" s="8"/>
      <c r="D452" s="381"/>
      <c r="E452" s="243"/>
      <c r="F452" s="243"/>
      <c r="G452" s="244"/>
      <c r="I45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3" spans="2:9" x14ac:dyDescent="0.25">
      <c r="B453" s="8"/>
      <c r="C453" s="8"/>
      <c r="D453" s="381"/>
      <c r="E453" s="243"/>
      <c r="F453" s="243"/>
      <c r="G453" s="244"/>
      <c r="I45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4" spans="2:9" x14ac:dyDescent="0.25">
      <c r="B454" s="8"/>
      <c r="C454" s="8"/>
      <c r="D454" s="381"/>
      <c r="E454" s="243"/>
      <c r="F454" s="243"/>
      <c r="G454" s="244"/>
      <c r="I45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5" spans="2:9" x14ac:dyDescent="0.25">
      <c r="B455" s="8"/>
      <c r="C455" s="8"/>
      <c r="D455" s="381"/>
      <c r="E455" s="243"/>
      <c r="F455" s="243"/>
      <c r="G455" s="244"/>
      <c r="I45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6" spans="2:9" x14ac:dyDescent="0.25">
      <c r="B456" s="8"/>
      <c r="C456" s="8"/>
      <c r="D456" s="381"/>
      <c r="E456" s="243"/>
      <c r="F456" s="243"/>
      <c r="G456" s="244"/>
      <c r="I45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7" spans="2:9" x14ac:dyDescent="0.25">
      <c r="B457" s="8"/>
      <c r="C457" s="8"/>
      <c r="D457" s="381"/>
      <c r="E457" s="243"/>
      <c r="F457" s="243"/>
      <c r="G457" s="244"/>
      <c r="I45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8" spans="2:9" x14ac:dyDescent="0.25">
      <c r="B458" s="8"/>
      <c r="C458" s="8"/>
      <c r="D458" s="381"/>
      <c r="E458" s="243"/>
      <c r="F458" s="243"/>
      <c r="G458" s="244"/>
      <c r="I45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59" spans="2:9" x14ac:dyDescent="0.25">
      <c r="B459" s="8"/>
      <c r="C459" s="8"/>
      <c r="D459" s="381"/>
      <c r="E459" s="243"/>
      <c r="F459" s="243"/>
      <c r="G459" s="244"/>
      <c r="I45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0" spans="2:9" x14ac:dyDescent="0.25">
      <c r="B460" s="8"/>
      <c r="C460" s="8"/>
      <c r="D460" s="381"/>
      <c r="E460" s="243"/>
      <c r="F460" s="243"/>
      <c r="G460" s="244"/>
      <c r="I46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1" spans="2:9" x14ac:dyDescent="0.25">
      <c r="B461" s="8"/>
      <c r="C461" s="8"/>
      <c r="D461" s="381"/>
      <c r="E461" s="243"/>
      <c r="F461" s="243"/>
      <c r="G461" s="244"/>
      <c r="I46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2" spans="2:9" x14ac:dyDescent="0.25">
      <c r="B462" s="8"/>
      <c r="C462" s="8"/>
      <c r="D462" s="381"/>
      <c r="E462" s="243"/>
      <c r="F462" s="243"/>
      <c r="G462" s="244"/>
      <c r="I46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3" spans="2:9" x14ac:dyDescent="0.25">
      <c r="B463" s="8"/>
      <c r="C463" s="8"/>
      <c r="D463" s="381"/>
      <c r="E463" s="243"/>
      <c r="F463" s="243"/>
      <c r="G463" s="244"/>
      <c r="I46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4" spans="2:9" x14ac:dyDescent="0.25">
      <c r="B464" s="8"/>
      <c r="C464" s="8"/>
      <c r="D464" s="381"/>
      <c r="E464" s="243"/>
      <c r="F464" s="243"/>
      <c r="G464" s="244"/>
      <c r="I46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5" spans="2:9" x14ac:dyDescent="0.25">
      <c r="B465" s="8"/>
      <c r="C465" s="8"/>
      <c r="D465" s="381"/>
      <c r="E465" s="243"/>
      <c r="F465" s="243"/>
      <c r="G465" s="244"/>
      <c r="I46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6" spans="2:9" x14ac:dyDescent="0.25">
      <c r="B466" s="8"/>
      <c r="C466" s="8"/>
      <c r="D466" s="381"/>
      <c r="E466" s="243"/>
      <c r="F466" s="243"/>
      <c r="G466" s="244"/>
      <c r="I46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7" spans="2:9" x14ac:dyDescent="0.25">
      <c r="B467" s="8"/>
      <c r="C467" s="8"/>
      <c r="D467" s="381"/>
      <c r="E467" s="243"/>
      <c r="F467" s="243"/>
      <c r="G467" s="244"/>
      <c r="I46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8" spans="2:9" x14ac:dyDescent="0.25">
      <c r="B468" s="8"/>
      <c r="C468" s="8"/>
      <c r="D468" s="381"/>
      <c r="E468" s="243"/>
      <c r="F468" s="243"/>
      <c r="G468" s="244"/>
      <c r="I46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69" spans="2:9" x14ac:dyDescent="0.25">
      <c r="B469" s="8"/>
      <c r="C469" s="8"/>
      <c r="D469" s="381"/>
      <c r="E469" s="243"/>
      <c r="F469" s="243"/>
      <c r="G469" s="244"/>
      <c r="I46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0" spans="2:9" x14ac:dyDescent="0.25">
      <c r="B470" s="8"/>
      <c r="C470" s="8"/>
      <c r="D470" s="381"/>
      <c r="E470" s="243"/>
      <c r="F470" s="243"/>
      <c r="G470" s="244"/>
      <c r="I47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1" spans="2:9" x14ac:dyDescent="0.25">
      <c r="B471" s="8"/>
      <c r="C471" s="8"/>
      <c r="D471" s="381"/>
      <c r="E471" s="243"/>
      <c r="F471" s="243"/>
      <c r="G471" s="244"/>
      <c r="I47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2" spans="2:9" x14ac:dyDescent="0.25">
      <c r="B472" s="8"/>
      <c r="C472" s="8"/>
      <c r="D472" s="381"/>
      <c r="E472" s="243"/>
      <c r="F472" s="243"/>
      <c r="G472" s="244"/>
      <c r="I47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3" spans="2:9" x14ac:dyDescent="0.25">
      <c r="B473" s="8"/>
      <c r="C473" s="8"/>
      <c r="D473" s="381"/>
      <c r="E473" s="243"/>
      <c r="F473" s="243"/>
      <c r="G473" s="244"/>
      <c r="I47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4" spans="2:9" x14ac:dyDescent="0.25">
      <c r="B474" s="8"/>
      <c r="C474" s="8"/>
      <c r="D474" s="381"/>
      <c r="E474" s="243"/>
      <c r="F474" s="243"/>
      <c r="G474" s="244"/>
      <c r="I47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5" spans="2:9" x14ac:dyDescent="0.25">
      <c r="B475" s="8"/>
      <c r="C475" s="8"/>
      <c r="D475" s="381"/>
      <c r="E475" s="243"/>
      <c r="F475" s="243"/>
      <c r="G475" s="244"/>
      <c r="I47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6" spans="2:9" x14ac:dyDescent="0.25">
      <c r="B476" s="8"/>
      <c r="C476" s="8"/>
      <c r="D476" s="381"/>
      <c r="E476" s="243"/>
      <c r="F476" s="243"/>
      <c r="G476" s="244"/>
      <c r="I47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7" spans="2:9" x14ac:dyDescent="0.25">
      <c r="B477" s="8"/>
      <c r="C477" s="8"/>
      <c r="D477" s="381"/>
      <c r="E477" s="243"/>
      <c r="F477" s="243"/>
      <c r="G477" s="244"/>
      <c r="I47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8" spans="2:9" x14ac:dyDescent="0.25">
      <c r="B478" s="8"/>
      <c r="C478" s="8"/>
      <c r="D478" s="381"/>
      <c r="E478" s="243"/>
      <c r="F478" s="243"/>
      <c r="G478" s="244"/>
      <c r="I47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79" spans="2:9" x14ac:dyDescent="0.25">
      <c r="B479" s="8"/>
      <c r="C479" s="8"/>
      <c r="D479" s="381"/>
      <c r="E479" s="243"/>
      <c r="F479" s="243"/>
      <c r="G479" s="244"/>
      <c r="I47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0" spans="2:9" x14ac:dyDescent="0.25">
      <c r="B480" s="8"/>
      <c r="C480" s="8"/>
      <c r="D480" s="381"/>
      <c r="E480" s="243"/>
      <c r="F480" s="243"/>
      <c r="G480" s="244"/>
      <c r="I48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1" spans="2:9" x14ac:dyDescent="0.25">
      <c r="B481" s="8"/>
      <c r="C481" s="8"/>
      <c r="D481" s="381"/>
      <c r="E481" s="243"/>
      <c r="F481" s="243"/>
      <c r="G481" s="244"/>
      <c r="I48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2" spans="2:9" x14ac:dyDescent="0.25">
      <c r="B482" s="8"/>
      <c r="C482" s="8"/>
      <c r="D482" s="381"/>
      <c r="E482" s="243"/>
      <c r="F482" s="243"/>
      <c r="G482" s="244"/>
      <c r="I48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3" spans="2:9" x14ac:dyDescent="0.25">
      <c r="B483" s="8"/>
      <c r="C483" s="8"/>
      <c r="D483" s="381"/>
      <c r="E483" s="243"/>
      <c r="F483" s="243"/>
      <c r="G483" s="244"/>
      <c r="I48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4" spans="2:9" x14ac:dyDescent="0.25">
      <c r="B484" s="8"/>
      <c r="C484" s="8"/>
      <c r="D484" s="381"/>
      <c r="E484" s="243"/>
      <c r="F484" s="243"/>
      <c r="G484" s="244"/>
      <c r="I48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5" spans="2:9" x14ac:dyDescent="0.25">
      <c r="B485" s="8"/>
      <c r="C485" s="8"/>
      <c r="D485" s="381"/>
      <c r="E485" s="243"/>
      <c r="F485" s="243"/>
      <c r="G485" s="244"/>
      <c r="I48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6" spans="2:9" x14ac:dyDescent="0.25">
      <c r="B486" s="8"/>
      <c r="C486" s="8"/>
      <c r="D486" s="381"/>
      <c r="E486" s="243"/>
      <c r="F486" s="243"/>
      <c r="G486" s="244"/>
      <c r="I48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7" spans="2:9" x14ac:dyDescent="0.25">
      <c r="B487" s="8"/>
      <c r="C487" s="8"/>
      <c r="D487" s="381"/>
      <c r="E487" s="243"/>
      <c r="F487" s="243"/>
      <c r="G487" s="244"/>
      <c r="I48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8" spans="2:9" x14ac:dyDescent="0.25">
      <c r="B488" s="8"/>
      <c r="C488" s="8"/>
      <c r="D488" s="381"/>
      <c r="E488" s="243"/>
      <c r="F488" s="243"/>
      <c r="G488" s="244"/>
      <c r="I48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89" spans="2:9" x14ac:dyDescent="0.25">
      <c r="B489" s="8"/>
      <c r="C489" s="8"/>
      <c r="D489" s="381"/>
      <c r="E489" s="243"/>
      <c r="F489" s="243"/>
      <c r="G489" s="244"/>
      <c r="I48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0" spans="2:9" x14ac:dyDescent="0.25">
      <c r="B490" s="8"/>
      <c r="C490" s="8"/>
      <c r="D490" s="381"/>
      <c r="E490" s="243"/>
      <c r="F490" s="243"/>
      <c r="G490" s="244"/>
      <c r="I49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1" spans="2:9" x14ac:dyDescent="0.25">
      <c r="B491" s="8"/>
      <c r="C491" s="8"/>
      <c r="D491" s="381"/>
      <c r="E491" s="243"/>
      <c r="F491" s="243"/>
      <c r="G491" s="244"/>
      <c r="I49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2" spans="2:9" x14ac:dyDescent="0.25">
      <c r="B492" s="8"/>
      <c r="C492" s="8"/>
      <c r="D492" s="381"/>
      <c r="E492" s="243"/>
      <c r="F492" s="243"/>
      <c r="G492" s="244"/>
      <c r="I492"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3" spans="2:9" x14ac:dyDescent="0.25">
      <c r="B493" s="8"/>
      <c r="C493" s="8"/>
      <c r="D493" s="381"/>
      <c r="E493" s="243"/>
      <c r="F493" s="243"/>
      <c r="G493" s="244"/>
      <c r="I493"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4" spans="2:9" x14ac:dyDescent="0.25">
      <c r="B494" s="8"/>
      <c r="C494" s="8"/>
      <c r="D494" s="381"/>
      <c r="E494" s="243"/>
      <c r="F494" s="243"/>
      <c r="G494" s="244"/>
      <c r="I494"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5" spans="2:9" x14ac:dyDescent="0.25">
      <c r="B495" s="8"/>
      <c r="C495" s="8"/>
      <c r="D495" s="381"/>
      <c r="E495" s="243"/>
      <c r="F495" s="243"/>
      <c r="G495" s="244"/>
      <c r="I495"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6" spans="2:9" x14ac:dyDescent="0.25">
      <c r="B496" s="8"/>
      <c r="C496" s="8"/>
      <c r="D496" s="381"/>
      <c r="E496" s="243"/>
      <c r="F496" s="243"/>
      <c r="G496" s="244"/>
      <c r="I496"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7" spans="2:9" x14ac:dyDescent="0.25">
      <c r="B497" s="8"/>
      <c r="C497" s="8"/>
      <c r="D497" s="381"/>
      <c r="E497" s="243"/>
      <c r="F497" s="243"/>
      <c r="G497" s="244"/>
      <c r="I497"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8" spans="2:9" x14ac:dyDescent="0.25">
      <c r="B498" s="8"/>
      <c r="C498" s="8"/>
      <c r="D498" s="381"/>
      <c r="E498" s="243"/>
      <c r="F498" s="243"/>
      <c r="G498" s="244"/>
      <c r="I498"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499" spans="2:9" x14ac:dyDescent="0.25">
      <c r="B499" s="8"/>
      <c r="C499" s="8"/>
      <c r="D499" s="381"/>
      <c r="E499" s="243"/>
      <c r="F499" s="243"/>
      <c r="G499" s="244"/>
      <c r="I499"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00" spans="2:9" x14ac:dyDescent="0.25">
      <c r="B500" s="8"/>
      <c r="C500" s="8"/>
      <c r="D500" s="381"/>
      <c r="E500" s="243"/>
      <c r="F500" s="243"/>
      <c r="G500" s="244"/>
      <c r="I500"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01" spans="2:9" x14ac:dyDescent="0.25">
      <c r="B501" s="8"/>
      <c r="C501" s="8"/>
      <c r="D501" s="381"/>
      <c r="E501" s="243"/>
      <c r="F501" s="243"/>
      <c r="G501" s="244"/>
      <c r="I501" s="72" t="str">
        <f>IF(COUNTA(Fonctionnement[[#This Row],[Compte]:[Montant]])=0,"",IF(Fonctionnement[[#This Row],[Compte]]="","&lt;-- Veuillez renseigner le " &amp; UPPER(Fonctionnement[[#Headers],[Compte]]),IF(Fonctionnement[[#This Row],[Intitulé de compte]]="","&lt;-- Veuillez renseigner l'"&amp;UPPER(Fonctionnement[[#Headers],[Intitulé de compte]]),IF(Fonctionnement[[#This Row],[Montant]]="","&lt;-- Veuillez renseigner le " &amp;UPPER(Fonctionnement[[#Headers],[Montant]]),""))))</f>
        <v/>
      </c>
    </row>
    <row r="502" spans="2:9" x14ac:dyDescent="0.25">
      <c r="B502" s="7" t="s">
        <v>31</v>
      </c>
      <c r="C502" s="7"/>
      <c r="D502" s="382">
        <f>SUBTOTAL(109,Fonctionnement[Montant])</f>
        <v>0</v>
      </c>
      <c r="E502" s="195"/>
      <c r="F502" s="195"/>
      <c r="G502" s="242"/>
    </row>
  </sheetData>
  <sheetProtection algorithmName="SHA-512" hashValue="BOQhx3SHS71yegPCVXg2ubyRlb5gb9kKrSZPGkF5vMH3p5QtKBU98VX8U6BjISRFm1aIKTy3OEKodWEhhk5qmg==" saltValue="/zMRhxc0NhqP6G+IbE9Mhw==" spinCount="100000" sheet="1" selectLockedCells="1" autoFilter="0"/>
  <dataValidations count="1">
    <dataValidation type="decimal" allowBlank="1" showInputMessage="1" showErrorMessage="1" sqref="D9:D501" xr:uid="{62ABE885-CF91-4FC0-8309-BA406A48D916}">
      <formula1>-10000000</formula1>
      <formula2>10000000</formula2>
    </dataValidation>
  </dataValidations>
  <pageMargins left="0.70866141732283472" right="0.70866141732283472" top="0.74803149606299213" bottom="0.74803149606299213" header="0.31496062992125984" footer="0.31496062992125984"/>
  <pageSetup paperSize="9" scale="10" fitToHeight="0" orientation="portrait" r:id="rId1"/>
  <headerFooter>
    <oddHeader>&amp;C&amp;A</oddHeader>
    <oddFooter>&amp;R&amp;P/&amp;N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'Variable et Dropdowns'!$K$2:$K$7</xm:f>
          </x14:formula1>
          <xm:sqref>F9:F501</xm:sqref>
        </x14:dataValidation>
        <x14:dataValidation type="list" allowBlank="1" showInputMessage="1" showErrorMessage="1" xr:uid="{00000000-0002-0000-0500-000000000000}">
          <x14:formula1>
            <xm:f>'Variable et Dropdowns'!$G$3:$G$26</xm:f>
          </x14:formula1>
          <xm:sqref>E9:E501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59999389629810485"/>
    <pageSetUpPr fitToPage="1"/>
  </sheetPr>
  <dimension ref="A1:AI511"/>
  <sheetViews>
    <sheetView zoomScale="85" zoomScaleNormal="85" workbookViewId="0">
      <selection activeCell="F7" sqref="F7:F13"/>
    </sheetView>
  </sheetViews>
  <sheetFormatPr defaultColWidth="9.140625" defaultRowHeight="15" x14ac:dyDescent="0.25"/>
  <cols>
    <col min="1" max="1" width="5.7109375" style="72" customWidth="1"/>
    <col min="2" max="2" width="8" style="2" customWidth="1"/>
    <col min="3" max="3" width="28.28515625" style="2" customWidth="1"/>
    <col min="4" max="4" width="33.85546875" style="2" customWidth="1"/>
    <col min="5" max="5" width="27.28515625" style="2" customWidth="1"/>
    <col min="6" max="6" width="120.28515625" style="2" bestFit="1" customWidth="1"/>
    <col min="7" max="7" width="12.28515625" style="2" bestFit="1" customWidth="1"/>
    <col min="8" max="8" width="11.140625" style="2" bestFit="1" customWidth="1"/>
    <col min="9" max="9" width="27" style="2" bestFit="1" customWidth="1"/>
    <col min="10" max="10" width="12.5703125" style="2" bestFit="1" customWidth="1"/>
    <col min="11" max="11" width="21" style="2" bestFit="1" customWidth="1"/>
    <col min="12" max="12" width="21" style="2" hidden="1" customWidth="1"/>
    <col min="13" max="13" width="23.85546875" style="2" hidden="1" customWidth="1"/>
    <col min="14" max="14" width="24.85546875" style="2" bestFit="1" customWidth="1"/>
    <col min="15" max="15" width="22.42578125" style="2" bestFit="1" customWidth="1"/>
    <col min="16" max="16" width="20.42578125" style="2" customWidth="1"/>
    <col min="17" max="17" width="29.140625" style="2" bestFit="1" customWidth="1"/>
    <col min="18" max="18" width="14.42578125" style="2" bestFit="1" customWidth="1"/>
    <col min="19" max="19" width="16.85546875" style="2" bestFit="1" customWidth="1"/>
    <col min="20" max="20" width="18.140625" style="2" bestFit="1" customWidth="1"/>
    <col min="21" max="21" width="18.28515625" style="2" bestFit="1" customWidth="1"/>
    <col min="22" max="22" width="20.5703125" style="2" bestFit="1" customWidth="1"/>
    <col min="23" max="23" width="20.5703125" style="2" customWidth="1"/>
    <col min="24" max="24" width="20.5703125" style="2" bestFit="1" customWidth="1"/>
    <col min="25" max="25" width="15.85546875" style="2" bestFit="1" customWidth="1"/>
    <col min="26" max="26" width="23.7109375" style="2" bestFit="1" customWidth="1"/>
    <col min="27" max="27" width="17.140625" style="2" bestFit="1" customWidth="1"/>
    <col min="28" max="28" width="43" style="2" bestFit="1" customWidth="1"/>
    <col min="29" max="29" width="46.140625" style="2" bestFit="1" customWidth="1"/>
    <col min="30" max="31" width="18.42578125" style="2" hidden="1" customWidth="1"/>
    <col min="32" max="32" width="79.42578125" style="2" hidden="1" customWidth="1"/>
    <col min="33" max="33" width="41.42578125" style="2" customWidth="1"/>
    <col min="34" max="34" width="21" style="2" bestFit="1" customWidth="1"/>
    <col min="35" max="35" width="9.140625" style="72"/>
    <col min="36" max="16384" width="9.140625" style="2"/>
  </cols>
  <sheetData>
    <row r="1" spans="1:35" x14ac:dyDescent="0.25">
      <c r="B1" s="11" t="str">
        <f>'Informations générales 1'!B7</f>
        <v>DECOMPTE ANNUEL</v>
      </c>
    </row>
    <row r="2" spans="1:35" x14ac:dyDescent="0.25">
      <c r="B2" s="11" t="str">
        <f>'Informations générales 1'!C20&amp;" - "&amp;'Informations générales 1'!C24</f>
        <v>Nom Gestionnaire - Nom SEA</v>
      </c>
    </row>
    <row r="3" spans="1:35" x14ac:dyDescent="0.25">
      <c r="B3" s="19">
        <f>'Informations générales 1'!C10</f>
        <v>2024</v>
      </c>
    </row>
    <row r="4" spans="1:35" x14ac:dyDescent="0.25">
      <c r="J4" s="70" t="s">
        <v>313</v>
      </c>
      <c r="K4" s="191">
        <f>SUM(CCTSAS[heures annuelles
selon contrat(s)])</f>
        <v>0</v>
      </c>
      <c r="L4" s="191">
        <f>SUM(CCTSAS[[Dont heures de contrat personnel supplémentaire Crise Ukrainienne ]])</f>
        <v>0</v>
      </c>
      <c r="M4" s="191">
        <f>SUM(CCTSAS[Dont heures de personnel supplémentaire COVID-19
(cf. Convention - Annexe 2)])</f>
        <v>0</v>
      </c>
      <c r="N4" s="191">
        <f>SUM(CCTSAS[Heures annuelles RTT])</f>
        <v>0</v>
      </c>
      <c r="O4" s="191">
        <f>SUM(CCTSAS[Heures de maladie])</f>
        <v>0</v>
      </c>
      <c r="P4" s="191">
        <f>SUM(CCTSAS[Heures PEP (compris dans les heures contrats)])</f>
        <v>0</v>
      </c>
      <c r="Q4" s="191">
        <f>SUM(CCTSAS[Autres absences motivées])</f>
        <v>0</v>
      </c>
      <c r="R4" s="192">
        <f>SUM(CCTSAS[Brut])</f>
        <v>0</v>
      </c>
      <c r="S4" s="192">
        <f>SUM(CCTSAS[Primes convention financement])</f>
        <v>0</v>
      </c>
      <c r="T4" s="192">
        <f>SUM(CCTSAS[Autres primes])</f>
        <v>0</v>
      </c>
      <c r="U4" s="192">
        <f>SUM(CCTSAS[Part patronale])</f>
        <v>0</v>
      </c>
      <c r="V4" s="192">
        <f>SUM(CCTSAS[Remboursement
Mutualité])</f>
        <v>0</v>
      </c>
      <c r="W4" s="192"/>
      <c r="X4" s="192">
        <f>SUM(CCTSAS[Remboursement
Autres])</f>
        <v>0</v>
      </c>
      <c r="Y4" s="192">
        <f>SUM(CCTSAS[Total global])</f>
        <v>0</v>
      </c>
      <c r="Z4" s="192">
        <f>SUM(CCTSAS[Dont non opposable])</f>
        <v>0</v>
      </c>
      <c r="AA4" s="192">
        <f>SUM(CCTSAS[Total éligible])</f>
        <v>0</v>
      </c>
    </row>
    <row r="5" spans="1:35" x14ac:dyDescent="0.25">
      <c r="J5" s="70" t="s">
        <v>392</v>
      </c>
      <c r="K5" s="191">
        <f>CCTSAS[[#Totals],[heures annuelles
selon contrat(s)]]</f>
        <v>0</v>
      </c>
      <c r="L5" s="191">
        <f>CCTSAS[[#Totals],[Dont heures de contrat personnel supplémentaire Crise Ukrainienne ]]</f>
        <v>0</v>
      </c>
      <c r="M5" s="191">
        <f>CCTSAS[[#Totals],[Dont heures de personnel supplémentaire COVID-19
(cf. Convention - Annexe 2)]]</f>
        <v>0</v>
      </c>
      <c r="N5" s="191">
        <f>CCTSAS[[#Totals],[Heures annuelles RTT]]</f>
        <v>0</v>
      </c>
      <c r="O5" s="191">
        <f>CCTSAS[[#Totals],[Heures de maladie]]</f>
        <v>0</v>
      </c>
      <c r="P5" s="191">
        <f>CCTSAS[[#Totals],[Heures PEP (compris dans les heures contrats)]]</f>
        <v>0</v>
      </c>
      <c r="Q5" s="191">
        <f>CCTSAS[[#Totals],[Autres absences motivées]]</f>
        <v>0</v>
      </c>
      <c r="R5" s="192">
        <f>CCTSAS[[#Totals],[Brut]]</f>
        <v>0</v>
      </c>
      <c r="S5" s="192">
        <f>CCTSAS[[#Totals],[Primes convention financement]]</f>
        <v>0</v>
      </c>
      <c r="T5" s="192">
        <f>CCTSAS[[#Totals],[Autres primes]]</f>
        <v>0</v>
      </c>
      <c r="U5" s="192">
        <f>CCTSAS[[#Totals],[Part patronale]]</f>
        <v>0</v>
      </c>
      <c r="V5" s="192">
        <f>CCTSAS[[#Totals],[Remboursement
Mutualité]]</f>
        <v>0</v>
      </c>
      <c r="W5" s="192"/>
      <c r="X5" s="192">
        <f>CCTSAS[[#Totals],[Remboursement
Autres]]</f>
        <v>0</v>
      </c>
      <c r="Y5" s="192">
        <f>CCTSAS[[#Totals],[Total global]]</f>
        <v>0</v>
      </c>
      <c r="Z5" s="192">
        <f>CCTSAS[[#Totals],[Dont non opposable]]</f>
        <v>0</v>
      </c>
      <c r="AA5" s="192">
        <f>CCTSAS[[#Totals],[Total éligible]]</f>
        <v>0</v>
      </c>
    </row>
    <row r="6" spans="1:35" s="36" customFormat="1" ht="90" x14ac:dyDescent="0.25">
      <c r="A6" s="92"/>
      <c r="B6" s="35" t="s">
        <v>19</v>
      </c>
      <c r="C6" s="35" t="s">
        <v>20</v>
      </c>
      <c r="D6" s="35" t="s">
        <v>122</v>
      </c>
      <c r="E6" s="35" t="s">
        <v>123</v>
      </c>
      <c r="F6" s="35" t="s">
        <v>124</v>
      </c>
      <c r="G6" s="6" t="s">
        <v>605</v>
      </c>
      <c r="H6" s="35" t="s">
        <v>125</v>
      </c>
      <c r="I6" s="35" t="s">
        <v>731</v>
      </c>
      <c r="J6" s="35" t="s">
        <v>607</v>
      </c>
      <c r="K6" s="6" t="s">
        <v>597</v>
      </c>
      <c r="L6" s="6" t="s">
        <v>702</v>
      </c>
      <c r="M6" s="6" t="s">
        <v>703</v>
      </c>
      <c r="N6" s="35" t="s">
        <v>126</v>
      </c>
      <c r="O6" s="35" t="s">
        <v>127</v>
      </c>
      <c r="P6" s="6" t="s">
        <v>704</v>
      </c>
      <c r="Q6" s="35" t="s">
        <v>128</v>
      </c>
      <c r="R6" s="35" t="s">
        <v>129</v>
      </c>
      <c r="S6" s="6" t="s">
        <v>390</v>
      </c>
      <c r="T6" s="35" t="s">
        <v>130</v>
      </c>
      <c r="U6" s="35" t="s">
        <v>131</v>
      </c>
      <c r="V6" s="6" t="s">
        <v>132</v>
      </c>
      <c r="W6" s="6" t="s">
        <v>625</v>
      </c>
      <c r="X6" s="6" t="s">
        <v>133</v>
      </c>
      <c r="Y6" s="35" t="s">
        <v>134</v>
      </c>
      <c r="Z6" s="35" t="s">
        <v>135</v>
      </c>
      <c r="AA6" s="35" t="s">
        <v>136</v>
      </c>
      <c r="AB6" s="35" t="s">
        <v>137</v>
      </c>
      <c r="AC6" s="35" t="s">
        <v>138</v>
      </c>
      <c r="AD6" s="6" t="s">
        <v>626</v>
      </c>
      <c r="AE6" s="6" t="s">
        <v>620</v>
      </c>
      <c r="AF6" s="6" t="s">
        <v>349</v>
      </c>
      <c r="AG6" s="35" t="s">
        <v>92</v>
      </c>
      <c r="AH6" s="35" t="s">
        <v>139</v>
      </c>
      <c r="AI6" s="92"/>
    </row>
    <row r="7" spans="1:35" x14ac:dyDescent="0.25">
      <c r="A7" s="72" t="str">
        <f>IF(CCTSAS[[#This Row],[Carrière]]="","",IF(ISNA(VLOOKUP(CCTSAS[[#This Row],[Carrière]],DROPDOWN[Dropdown9],1,FALSE))=TRUE,"Carrière: Utiliser la liste déroulante",""))</f>
        <v/>
      </c>
      <c r="B7" s="553" t="str">
        <f>IF(CCTSAS[[#This Row],[Matricule]]="","",1)</f>
        <v/>
      </c>
      <c r="C7" s="8"/>
      <c r="D7" s="8"/>
      <c r="E7" s="20"/>
      <c r="F7" s="63"/>
      <c r="G7" s="8"/>
      <c r="H7" s="8"/>
      <c r="I7" s="10"/>
      <c r="J7" s="10"/>
      <c r="K7" s="9"/>
      <c r="L7" s="9"/>
      <c r="M7" s="9"/>
      <c r="N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 s="660"/>
      <c r="P7" s="660"/>
      <c r="Q7" s="461"/>
      <c r="R7" s="381"/>
      <c r="S7" s="37"/>
      <c r="T7" s="37"/>
      <c r="U7" s="37"/>
      <c r="V7" s="37"/>
      <c r="W7" s="37"/>
      <c r="X7" s="37"/>
      <c r="Y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 s="37"/>
      <c r="AA7" s="661" t="str">
        <f>IF(COUNTA(CCTSAS[[#This Row],[Nom]:[heures annuelles
selon contrat(s)]])=0,"",CCTSAS[[#This Row],[Total global]]-ABS(CCTSAS[[#This Row],[Dont non opposable]]))</f>
        <v/>
      </c>
      <c r="AB7" s="8"/>
      <c r="AC7" s="63"/>
      <c r="AD7" s="427"/>
      <c r="AE7" s="427"/>
      <c r="AF7" s="427"/>
      <c r="AG7" s="42"/>
      <c r="AH7" s="183" t="str">
        <f>IF(COUNTA(CCTSAS[[#This Row],[Nom]:[heures annuelles
selon contrat(s)]])=0,"",REVEX!$E$9)</f>
        <v/>
      </c>
      <c r="AI7" s="72" t="str">
        <f>IF(CCTSAS[[#This Row],[Allocation fonctions]]="","",IF(ISNA(VLOOKUP(CCTSAS[[#This Row],[Allocation fonctions]],DROPDOWN[Dropdown82],1,FALSE))=TRUE,"Veuillez utiliser les allocations parmis la liste déroulante.",""))</f>
        <v/>
      </c>
    </row>
    <row r="8" spans="1:35" x14ac:dyDescent="0.25">
      <c r="A8" s="72" t="str">
        <f>IF(CCTSAS[[#This Row],[Carrière]]="","",IF(ISNA(VLOOKUP(CCTSAS[[#This Row],[Carrière]],DROPDOWN[Dropdown9],1,FALSE))=TRUE,"Carrière: Utiliser la liste déroulante",""))</f>
        <v/>
      </c>
      <c r="B8" s="554" t="str">
        <f>IF(CCTSAS[[#This Row],[Matricule]]="","",MAX($B$7:B7)+1)</f>
        <v/>
      </c>
      <c r="C8" s="8"/>
      <c r="D8" s="8"/>
      <c r="E8" s="20"/>
      <c r="F8" s="63"/>
      <c r="G8" s="8"/>
      <c r="H8" s="8"/>
      <c r="I8" s="10"/>
      <c r="J8" s="10"/>
      <c r="K8" s="9"/>
      <c r="L8" s="9"/>
      <c r="M8" s="9"/>
      <c r="N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 s="660"/>
      <c r="P8" s="660"/>
      <c r="Q8" s="461"/>
      <c r="R8" s="381"/>
      <c r="S8" s="37"/>
      <c r="T8" s="37"/>
      <c r="U8" s="37"/>
      <c r="V8" s="37"/>
      <c r="W8" s="37"/>
      <c r="X8" s="37"/>
      <c r="Y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 s="37"/>
      <c r="AA8" s="662" t="str">
        <f>IF(COUNTA(CCTSAS[[#This Row],[Nom]:[heures annuelles
selon contrat(s)]])=0,"",CCTSAS[[#This Row],[Total global]]-ABS(CCTSAS[[#This Row],[Dont non opposable]]))</f>
        <v/>
      </c>
      <c r="AB8" s="8"/>
      <c r="AC8" s="63"/>
      <c r="AD8" s="428"/>
      <c r="AE8" s="428"/>
      <c r="AF8" s="428"/>
      <c r="AG8" s="43"/>
      <c r="AH8" s="183" t="str">
        <f>IF(COUNTA(CCTSAS[[#This Row],[Nom]:[heures annuelles
selon contrat(s)]])=0,"",REVEX!$E$9)</f>
        <v/>
      </c>
      <c r="AI8" s="72" t="str">
        <f>IF(CCTSAS[[#This Row],[Allocation fonctions]]="","",IF(ISNA(VLOOKUP(CCTSAS[[#This Row],[Allocation fonctions]],DROPDOWN[Dropdown82],1,FALSE))=TRUE,"Veuillez utiliser les allocations parmis la liste déroulante.",""))</f>
        <v/>
      </c>
    </row>
    <row r="9" spans="1:35" x14ac:dyDescent="0.25">
      <c r="B9" s="554" t="str">
        <f>IF(CCTSAS[[#This Row],[Matricule]]="","",MAX($B$7:B8)+1)</f>
        <v/>
      </c>
      <c r="C9" s="8"/>
      <c r="D9" s="8"/>
      <c r="E9" s="20"/>
      <c r="F9" s="63"/>
      <c r="G9" s="8"/>
      <c r="H9" s="8"/>
      <c r="I9" s="10"/>
      <c r="J9" s="10"/>
      <c r="K9" s="9"/>
      <c r="L9" s="9"/>
      <c r="M9" s="9"/>
      <c r="N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 s="660"/>
      <c r="P9" s="660"/>
      <c r="Q9" s="461"/>
      <c r="R9" s="381"/>
      <c r="S9" s="37"/>
      <c r="T9" s="37"/>
      <c r="U9" s="37"/>
      <c r="V9" s="37"/>
      <c r="W9" s="37"/>
      <c r="X9" s="37"/>
      <c r="Y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 s="37"/>
      <c r="AA9" s="662" t="str">
        <f>IF(COUNTA(CCTSAS[[#This Row],[Nom]:[heures annuelles
selon contrat(s)]])=0,"",CCTSAS[[#This Row],[Total global]]-ABS(CCTSAS[[#This Row],[Dont non opposable]]))</f>
        <v/>
      </c>
      <c r="AB9" s="8"/>
      <c r="AC9" s="63"/>
      <c r="AD9" s="428"/>
      <c r="AE9" s="428"/>
      <c r="AF9" s="428"/>
      <c r="AG9" s="43"/>
      <c r="AH9" s="183" t="str">
        <f>IF(COUNTA(CCTSAS[[#This Row],[Nom]:[heures annuelles
selon contrat(s)]])=0,"",REVEX!$E$9)</f>
        <v/>
      </c>
      <c r="AI9" s="72" t="str">
        <f>IF(CCTSAS[[#This Row],[Allocation fonctions]]="","",IF(ISNA(VLOOKUP(CCTSAS[[#This Row],[Allocation fonctions]],DROPDOWN[Dropdown82],1,FALSE))=TRUE,"Veuillez utiliser les allocations parmis la liste déroulante.",""))</f>
        <v/>
      </c>
    </row>
    <row r="10" spans="1:35" x14ac:dyDescent="0.25">
      <c r="A10" s="72" t="str">
        <f>IF(CCTSAS[[#This Row],[Carrière]]="","",IF(ISNA(VLOOKUP(CCTSAS[[#This Row],[Carrière]],DROPDOWN[Dropdown9],1,FALSE))=TRUE,"Carrière: Utiliser la liste déroulante",""))</f>
        <v/>
      </c>
      <c r="B10" s="554" t="str">
        <f>IF(CCTSAS[[#This Row],[Matricule]]="","",MAX($B$7:B9)+1)</f>
        <v/>
      </c>
      <c r="C10" s="8"/>
      <c r="D10" s="8"/>
      <c r="E10" s="20"/>
      <c r="F10" s="63"/>
      <c r="G10" s="8"/>
      <c r="H10" s="8"/>
      <c r="I10" s="10"/>
      <c r="J10" s="10"/>
      <c r="K10" s="9"/>
      <c r="L10" s="9"/>
      <c r="M10" s="9"/>
      <c r="N1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 s="660"/>
      <c r="P10" s="660"/>
      <c r="Q10" s="461"/>
      <c r="R10" s="381"/>
      <c r="S10" s="37"/>
      <c r="T10" s="37"/>
      <c r="U10" s="37"/>
      <c r="V10" s="37"/>
      <c r="W10" s="37"/>
      <c r="X10" s="37"/>
      <c r="Y1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 s="37"/>
      <c r="AA10" s="662" t="str">
        <f>IF(COUNTA(CCTSAS[[#This Row],[Nom]:[heures annuelles
selon contrat(s)]])=0,"",CCTSAS[[#This Row],[Total global]]-ABS(CCTSAS[[#This Row],[Dont non opposable]]))</f>
        <v/>
      </c>
      <c r="AB10" s="8"/>
      <c r="AC10" s="63"/>
      <c r="AD10" s="428"/>
      <c r="AE10" s="428"/>
      <c r="AF10" s="428"/>
      <c r="AG10" s="43"/>
      <c r="AH10" s="183" t="str">
        <f>IF(COUNTA(CCTSAS[[#This Row],[Nom]:[heures annuelles
selon contrat(s)]])=0,"",REVEX!$E$9)</f>
        <v/>
      </c>
      <c r="AI10" s="72" t="str">
        <f>IF(CCTSAS[[#This Row],[Allocation fonctions]]="","",IF(ISNA(VLOOKUP(CCTSAS[[#This Row],[Allocation fonctions]],DROPDOWN[Dropdown82],1,FALSE))=TRUE,"Veuillez utiliser les allocations parmis la liste déroulante.",""))</f>
        <v/>
      </c>
    </row>
    <row r="11" spans="1:35" x14ac:dyDescent="0.25">
      <c r="A11" s="72" t="str">
        <f>IF(CCTSAS[[#This Row],[Carrière]]="","",IF(ISNA(VLOOKUP(CCTSAS[[#This Row],[Carrière]],DROPDOWN[Dropdown9],1,FALSE))=TRUE,"Carrière: Utiliser la liste déroulante",""))</f>
        <v/>
      </c>
      <c r="B11" s="554" t="str">
        <f>IF(CCTSAS[[#This Row],[Matricule]]="","",MAX($B$7:B10)+1)</f>
        <v/>
      </c>
      <c r="C11" s="8"/>
      <c r="D11" s="8"/>
      <c r="E11" s="20"/>
      <c r="F11" s="63"/>
      <c r="G11" s="8"/>
      <c r="H11" s="8"/>
      <c r="I11" s="10"/>
      <c r="J11" s="10"/>
      <c r="K11" s="9"/>
      <c r="L11" s="9"/>
      <c r="M11" s="9"/>
      <c r="N1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 s="660"/>
      <c r="P11" s="660"/>
      <c r="Q11" s="461"/>
      <c r="R11" s="381"/>
      <c r="S11" s="37"/>
      <c r="T11" s="37"/>
      <c r="U11" s="37"/>
      <c r="V11" s="37"/>
      <c r="W11" s="37"/>
      <c r="X11" s="37"/>
      <c r="Y1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 s="37"/>
      <c r="AA11" s="662" t="str">
        <f>IF(COUNTA(CCTSAS[[#This Row],[Nom]:[heures annuelles
selon contrat(s)]])=0,"",CCTSAS[[#This Row],[Total global]]-ABS(CCTSAS[[#This Row],[Dont non opposable]]))</f>
        <v/>
      </c>
      <c r="AB11" s="8"/>
      <c r="AC11" s="63"/>
      <c r="AD11" s="428"/>
      <c r="AE11" s="428"/>
      <c r="AF11" s="428"/>
      <c r="AG11" s="43"/>
      <c r="AH11" s="183" t="str">
        <f>IF(COUNTA(CCTSAS[[#This Row],[Nom]:[heures annuelles
selon contrat(s)]])=0,"",REVEX!$E$9)</f>
        <v/>
      </c>
      <c r="AI11" s="72" t="str">
        <f>IF(CCTSAS[[#This Row],[Allocation fonctions]]="","",IF(ISNA(VLOOKUP(CCTSAS[[#This Row],[Allocation fonctions]],DROPDOWN[Dropdown82],1,FALSE))=TRUE,"Veuillez utiliser les allocations parmis la liste déroulante.",""))</f>
        <v/>
      </c>
    </row>
    <row r="12" spans="1:35" x14ac:dyDescent="0.25">
      <c r="A12" s="72" t="str">
        <f>IF(CCTSAS[[#This Row],[Carrière]]="","",IF(ISNA(VLOOKUP(CCTSAS[[#This Row],[Carrière]],DROPDOWN[Dropdown9],1,FALSE))=TRUE,"Carrière: Utiliser la liste déroulante",""))</f>
        <v/>
      </c>
      <c r="B12" s="554" t="str">
        <f>IF(CCTSAS[[#This Row],[Matricule]]="","",MAX($B$7:B11)+1)</f>
        <v/>
      </c>
      <c r="C12" s="8"/>
      <c r="D12" s="8"/>
      <c r="E12" s="20"/>
      <c r="F12" s="63"/>
      <c r="G12" s="8"/>
      <c r="H12" s="8"/>
      <c r="I12" s="10"/>
      <c r="J12" s="10"/>
      <c r="K12" s="9"/>
      <c r="L12" s="9"/>
      <c r="M12" s="9"/>
      <c r="N1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 s="660"/>
      <c r="P12" s="660"/>
      <c r="Q12" s="461"/>
      <c r="R12" s="381"/>
      <c r="S12" s="37"/>
      <c r="T12" s="37"/>
      <c r="U12" s="37"/>
      <c r="V12" s="37"/>
      <c r="W12" s="37"/>
      <c r="X12" s="37"/>
      <c r="Y1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 s="37"/>
      <c r="AA12" s="662" t="str">
        <f>IF(COUNTA(CCTSAS[[#This Row],[Nom]:[heures annuelles
selon contrat(s)]])=0,"",CCTSAS[[#This Row],[Total global]]-ABS(CCTSAS[[#This Row],[Dont non opposable]]))</f>
        <v/>
      </c>
      <c r="AB12" s="8"/>
      <c r="AC12" s="63"/>
      <c r="AD12" s="428"/>
      <c r="AE12" s="428"/>
      <c r="AF12" s="428"/>
      <c r="AG12" s="43"/>
      <c r="AH12" s="183" t="str">
        <f>IF(COUNTA(CCTSAS[[#This Row],[Nom]:[heures annuelles
selon contrat(s)]])=0,"",REVEX!$E$9)</f>
        <v/>
      </c>
      <c r="AI12" s="72" t="str">
        <f>IF(CCTSAS[[#This Row],[Allocation fonctions]]="","",IF(ISNA(VLOOKUP(CCTSAS[[#This Row],[Allocation fonctions]],DROPDOWN[Dropdown82],1,FALSE))=TRUE,"Veuillez utiliser les allocations parmis la liste déroulante.",""))</f>
        <v/>
      </c>
    </row>
    <row r="13" spans="1:35" x14ac:dyDescent="0.25">
      <c r="A13" s="72" t="str">
        <f>IF(CCTSAS[[#This Row],[Carrière]]="","",IF(ISNA(VLOOKUP(CCTSAS[[#This Row],[Carrière]],DROPDOWN[Dropdown9],1,FALSE))=TRUE,"Carrière: Utiliser la liste déroulante",""))</f>
        <v/>
      </c>
      <c r="B13" s="554" t="str">
        <f>IF(CCTSAS[[#This Row],[Matricule]]="","",MAX($B$7:B12)+1)</f>
        <v/>
      </c>
      <c r="C13" s="8"/>
      <c r="D13" s="8"/>
      <c r="E13" s="20"/>
      <c r="F13" s="63"/>
      <c r="G13" s="8"/>
      <c r="H13" s="8"/>
      <c r="I13" s="10"/>
      <c r="J13" s="10"/>
      <c r="K13" s="9"/>
      <c r="L13" s="9"/>
      <c r="M13" s="9"/>
      <c r="N1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 s="660"/>
      <c r="P13" s="660"/>
      <c r="Q13" s="461"/>
      <c r="R13" s="381"/>
      <c r="S13" s="37"/>
      <c r="T13" s="37"/>
      <c r="U13" s="37"/>
      <c r="V13" s="37"/>
      <c r="W13" s="37"/>
      <c r="X13" s="37"/>
      <c r="Y1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 s="37"/>
      <c r="AA13" s="662" t="str">
        <f>IF(COUNTA(CCTSAS[[#This Row],[Nom]:[heures annuelles
selon contrat(s)]])=0,"",CCTSAS[[#This Row],[Total global]]-ABS(CCTSAS[[#This Row],[Dont non opposable]]))</f>
        <v/>
      </c>
      <c r="AB13" s="8"/>
      <c r="AC13" s="63"/>
      <c r="AD13" s="428"/>
      <c r="AE13" s="428"/>
      <c r="AF13" s="428"/>
      <c r="AG13" s="43"/>
      <c r="AH13" s="183" t="str">
        <f>IF(COUNTA(CCTSAS[[#This Row],[Nom]:[heures annuelles
selon contrat(s)]])=0,"",REVEX!$E$9)</f>
        <v/>
      </c>
      <c r="AI13" s="72" t="str">
        <f>IF(CCTSAS[[#This Row],[Allocation fonctions]]="","",IF(ISNA(VLOOKUP(CCTSAS[[#This Row],[Allocation fonctions]],DROPDOWN[Dropdown82],1,FALSE))=TRUE,"Veuillez utiliser les allocations parmis la liste déroulante.",""))</f>
        <v/>
      </c>
    </row>
    <row r="14" spans="1:35" x14ac:dyDescent="0.25">
      <c r="A14" s="72" t="str">
        <f>IF(CCTSAS[[#This Row],[Carrière]]="","",IF(ISNA(VLOOKUP(CCTSAS[[#This Row],[Carrière]],DROPDOWN[Dropdown9],1,FALSE))=TRUE,"Carrière: Utiliser la liste déroulante",""))</f>
        <v/>
      </c>
      <c r="B14" s="554" t="str">
        <f>IF(CCTSAS[[#This Row],[Matricule]]="","",MAX($B$7:B13)+1)</f>
        <v/>
      </c>
      <c r="C14" s="8"/>
      <c r="D14" s="8"/>
      <c r="E14" s="20"/>
      <c r="F14" s="63"/>
      <c r="G14" s="8"/>
      <c r="H14" s="8"/>
      <c r="I14" s="10"/>
      <c r="J14" s="10"/>
      <c r="K14" s="9"/>
      <c r="L14" s="9"/>
      <c r="M14" s="9"/>
      <c r="N1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 s="660"/>
      <c r="P14" s="660"/>
      <c r="Q14" s="461"/>
      <c r="R14" s="381"/>
      <c r="S14" s="37"/>
      <c r="T14" s="37"/>
      <c r="U14" s="37"/>
      <c r="V14" s="37"/>
      <c r="W14" s="37"/>
      <c r="X14" s="37"/>
      <c r="Y1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 s="37"/>
      <c r="AA14" s="662" t="str">
        <f>IF(COUNTA(CCTSAS[[#This Row],[Nom]:[heures annuelles
selon contrat(s)]])=0,"",CCTSAS[[#This Row],[Total global]]-ABS(CCTSAS[[#This Row],[Dont non opposable]]))</f>
        <v/>
      </c>
      <c r="AB14" s="8"/>
      <c r="AC14" s="63"/>
      <c r="AD14" s="428"/>
      <c r="AE14" s="428"/>
      <c r="AF14" s="428"/>
      <c r="AG14" s="43"/>
      <c r="AH14" s="183" t="str">
        <f>IF(COUNTA(CCTSAS[[#This Row],[Nom]:[heures annuelles
selon contrat(s)]])=0,"",REVEX!$E$9)</f>
        <v/>
      </c>
      <c r="AI14" s="72" t="str">
        <f>IF(CCTSAS[[#This Row],[Allocation fonctions]]="","",IF(ISNA(VLOOKUP(CCTSAS[[#This Row],[Allocation fonctions]],DROPDOWN[Dropdown82],1,FALSE))=TRUE,"Veuillez utiliser les allocations parmis la liste déroulante.",""))</f>
        <v/>
      </c>
    </row>
    <row r="15" spans="1:35" x14ac:dyDescent="0.25">
      <c r="A15" s="72" t="str">
        <f>IF(CCTSAS[[#This Row],[Carrière]]="","",IF(ISNA(VLOOKUP(CCTSAS[[#This Row],[Carrière]],DROPDOWN[Dropdown9],1,FALSE))=TRUE,"Carrière: Utiliser la liste déroulante",""))</f>
        <v/>
      </c>
      <c r="B15" s="554" t="str">
        <f>IF(CCTSAS[[#This Row],[Matricule]]="","",MAX($B$7:B14)+1)</f>
        <v/>
      </c>
      <c r="C15" s="8"/>
      <c r="D15" s="8"/>
      <c r="E15" s="20"/>
      <c r="F15" s="63"/>
      <c r="G15" s="8"/>
      <c r="H15" s="8"/>
      <c r="I15" s="10"/>
      <c r="J15" s="10"/>
      <c r="K15" s="9"/>
      <c r="L15" s="9"/>
      <c r="M15" s="9"/>
      <c r="N1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 s="660"/>
      <c r="P15" s="660"/>
      <c r="Q15" s="461"/>
      <c r="R15" s="381"/>
      <c r="S15" s="37"/>
      <c r="T15" s="37"/>
      <c r="U15" s="37"/>
      <c r="V15" s="37"/>
      <c r="W15" s="37"/>
      <c r="X15" s="37"/>
      <c r="Y1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 s="37"/>
      <c r="AA15" s="662" t="str">
        <f>IF(COUNTA(CCTSAS[[#This Row],[Nom]:[heures annuelles
selon contrat(s)]])=0,"",CCTSAS[[#This Row],[Total global]]-ABS(CCTSAS[[#This Row],[Dont non opposable]]))</f>
        <v/>
      </c>
      <c r="AB15" s="8"/>
      <c r="AC15" s="63"/>
      <c r="AD15" s="428"/>
      <c r="AE15" s="428"/>
      <c r="AF15" s="428"/>
      <c r="AG15" s="43"/>
      <c r="AH15" s="183" t="str">
        <f>IF(COUNTA(CCTSAS[[#This Row],[Nom]:[heures annuelles
selon contrat(s)]])=0,"",REVEX!$E$9)</f>
        <v/>
      </c>
      <c r="AI15" s="72" t="str">
        <f>IF(CCTSAS[[#This Row],[Allocation fonctions]]="","",IF(ISNA(VLOOKUP(CCTSAS[[#This Row],[Allocation fonctions]],DROPDOWN[Dropdown82],1,FALSE))=TRUE,"Veuillez utiliser les allocations parmis la liste déroulante.",""))</f>
        <v/>
      </c>
    </row>
    <row r="16" spans="1:35" x14ac:dyDescent="0.25">
      <c r="A16" s="72" t="str">
        <f>IF(CCTSAS[[#This Row],[Carrière]]="","",IF(ISNA(VLOOKUP(CCTSAS[[#This Row],[Carrière]],DROPDOWN[Dropdown9],1,FALSE))=TRUE,"Carrière: Utiliser la liste déroulante",""))</f>
        <v/>
      </c>
      <c r="B16" s="554" t="str">
        <f>IF(CCTSAS[[#This Row],[Matricule]]="","",MAX($B$7:B15)+1)</f>
        <v/>
      </c>
      <c r="C16" s="8"/>
      <c r="D16" s="8"/>
      <c r="E16" s="20"/>
      <c r="F16" s="63"/>
      <c r="G16" s="8"/>
      <c r="H16" s="8"/>
      <c r="I16" s="10"/>
      <c r="J16" s="10"/>
      <c r="K16" s="9"/>
      <c r="L16" s="9"/>
      <c r="M16" s="9"/>
      <c r="N1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 s="660"/>
      <c r="P16" s="660"/>
      <c r="Q16" s="461"/>
      <c r="R16" s="381"/>
      <c r="S16" s="37"/>
      <c r="T16" s="37"/>
      <c r="U16" s="37"/>
      <c r="V16" s="37"/>
      <c r="W16" s="37"/>
      <c r="X16" s="37"/>
      <c r="Y1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 s="37"/>
      <c r="AA16" s="662" t="str">
        <f>IF(COUNTA(CCTSAS[[#This Row],[Nom]:[heures annuelles
selon contrat(s)]])=0,"",CCTSAS[[#This Row],[Total global]]-ABS(CCTSAS[[#This Row],[Dont non opposable]]))</f>
        <v/>
      </c>
      <c r="AB16" s="8"/>
      <c r="AC16" s="63"/>
      <c r="AD16" s="428"/>
      <c r="AE16" s="428"/>
      <c r="AF16" s="428"/>
      <c r="AG16" s="43"/>
      <c r="AH16" s="183" t="str">
        <f>IF(COUNTA(CCTSAS[[#This Row],[Nom]:[heures annuelles
selon contrat(s)]])=0,"",REVEX!$E$9)</f>
        <v/>
      </c>
      <c r="AI16" s="72" t="str">
        <f>IF(CCTSAS[[#This Row],[Allocation fonctions]]="","",IF(ISNA(VLOOKUP(CCTSAS[[#This Row],[Allocation fonctions]],DROPDOWN[Dropdown82],1,FALSE))=TRUE,"Veuillez utiliser les allocations parmis la liste déroulante.",""))</f>
        <v/>
      </c>
    </row>
    <row r="17" spans="1:35" x14ac:dyDescent="0.25">
      <c r="A17" s="72" t="str">
        <f>IF(CCTSAS[[#This Row],[Carrière]]="","",IF(ISNA(VLOOKUP(CCTSAS[[#This Row],[Carrière]],DROPDOWN[Dropdown9],1,FALSE))=TRUE,"Carrière: Utiliser la liste déroulante",""))</f>
        <v/>
      </c>
      <c r="B17" s="554" t="str">
        <f>IF(CCTSAS[[#This Row],[Matricule]]="","",MAX($B$7:B16)+1)</f>
        <v/>
      </c>
      <c r="C17" s="8"/>
      <c r="D17" s="8"/>
      <c r="E17" s="20"/>
      <c r="F17" s="63"/>
      <c r="G17" s="8"/>
      <c r="H17" s="8"/>
      <c r="I17" s="10"/>
      <c r="J17" s="10"/>
      <c r="K17" s="9"/>
      <c r="L17" s="9"/>
      <c r="M17" s="9"/>
      <c r="N1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 s="660"/>
      <c r="P17" s="660"/>
      <c r="Q17" s="461"/>
      <c r="R17" s="381"/>
      <c r="S17" s="37"/>
      <c r="T17" s="37"/>
      <c r="U17" s="37"/>
      <c r="V17" s="37"/>
      <c r="W17" s="37"/>
      <c r="X17" s="37"/>
      <c r="Y1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 s="37"/>
      <c r="AA17" s="662" t="str">
        <f>IF(COUNTA(CCTSAS[[#This Row],[Nom]:[heures annuelles
selon contrat(s)]])=0,"",CCTSAS[[#This Row],[Total global]]-ABS(CCTSAS[[#This Row],[Dont non opposable]]))</f>
        <v/>
      </c>
      <c r="AB17" s="8"/>
      <c r="AC17" s="63"/>
      <c r="AD17" s="428"/>
      <c r="AE17" s="428"/>
      <c r="AF17" s="428"/>
      <c r="AG17" s="43"/>
      <c r="AH17" s="183" t="str">
        <f>IF(COUNTA(CCTSAS[[#This Row],[Nom]:[heures annuelles
selon contrat(s)]])=0,"",REVEX!$E$9)</f>
        <v/>
      </c>
      <c r="AI17" s="72" t="str">
        <f>IF(CCTSAS[[#This Row],[Allocation fonctions]]="","",IF(ISNA(VLOOKUP(CCTSAS[[#This Row],[Allocation fonctions]],DROPDOWN[Dropdown82],1,FALSE))=TRUE,"Veuillez utiliser les allocations parmis la liste déroulante.",""))</f>
        <v/>
      </c>
    </row>
    <row r="18" spans="1:35" x14ac:dyDescent="0.25">
      <c r="A18" s="72" t="str">
        <f>IF(CCTSAS[[#This Row],[Carrière]]="","",IF(ISNA(VLOOKUP(CCTSAS[[#This Row],[Carrière]],DROPDOWN[Dropdown9],1,FALSE))=TRUE,"Carrière: Utiliser la liste déroulante",""))</f>
        <v/>
      </c>
      <c r="B18" s="554" t="str">
        <f>IF(CCTSAS[[#This Row],[Matricule]]="","",MAX($B$7:B17)+1)</f>
        <v/>
      </c>
      <c r="C18" s="8"/>
      <c r="D18" s="8"/>
      <c r="E18" s="20"/>
      <c r="F18" s="63"/>
      <c r="G18" s="8"/>
      <c r="H18" s="8"/>
      <c r="I18" s="10"/>
      <c r="J18" s="10"/>
      <c r="K18" s="9"/>
      <c r="L18" s="9"/>
      <c r="M18" s="9"/>
      <c r="N1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 s="660"/>
      <c r="P18" s="660"/>
      <c r="Q18" s="461"/>
      <c r="R18" s="381"/>
      <c r="S18" s="37"/>
      <c r="T18" s="37"/>
      <c r="U18" s="37"/>
      <c r="V18" s="37"/>
      <c r="W18" s="37"/>
      <c r="X18" s="37"/>
      <c r="Y1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 s="37"/>
      <c r="AA18" s="662" t="str">
        <f>IF(COUNTA(CCTSAS[[#This Row],[Nom]:[heures annuelles
selon contrat(s)]])=0,"",CCTSAS[[#This Row],[Total global]]-ABS(CCTSAS[[#This Row],[Dont non opposable]]))</f>
        <v/>
      </c>
      <c r="AB18" s="8"/>
      <c r="AC18" s="63"/>
      <c r="AD18" s="428"/>
      <c r="AE18" s="428"/>
      <c r="AF18" s="428"/>
      <c r="AG18" s="43"/>
      <c r="AH18" s="183" t="str">
        <f>IF(COUNTA(CCTSAS[[#This Row],[Nom]:[heures annuelles
selon contrat(s)]])=0,"",REVEX!$E$9)</f>
        <v/>
      </c>
      <c r="AI18" s="72" t="str">
        <f>IF(CCTSAS[[#This Row],[Allocation fonctions]]="","",IF(ISNA(VLOOKUP(CCTSAS[[#This Row],[Allocation fonctions]],DROPDOWN[Dropdown82],1,FALSE))=TRUE,"Veuillez utiliser les allocations parmis la liste déroulante.",""))</f>
        <v/>
      </c>
    </row>
    <row r="19" spans="1:35" x14ac:dyDescent="0.25">
      <c r="A19" s="72" t="str">
        <f>IF(CCTSAS[[#This Row],[Carrière]]="","",IF(ISNA(VLOOKUP(CCTSAS[[#This Row],[Carrière]],DROPDOWN[Dropdown9],1,FALSE))=TRUE,"Carrière: Utiliser la liste déroulante",""))</f>
        <v/>
      </c>
      <c r="B19" s="554" t="str">
        <f>IF(CCTSAS[[#This Row],[Matricule]]="","",MAX($B$7:B18)+1)</f>
        <v/>
      </c>
      <c r="C19" s="8"/>
      <c r="D19" s="8"/>
      <c r="E19" s="20"/>
      <c r="F19" s="63"/>
      <c r="G19" s="8"/>
      <c r="H19" s="8"/>
      <c r="I19" s="10"/>
      <c r="J19" s="10"/>
      <c r="K19" s="9"/>
      <c r="L19" s="9"/>
      <c r="M19" s="9"/>
      <c r="N1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 s="660"/>
      <c r="P19" s="660"/>
      <c r="Q19" s="461"/>
      <c r="R19" s="381"/>
      <c r="S19" s="37"/>
      <c r="T19" s="37"/>
      <c r="U19" s="37"/>
      <c r="V19" s="37"/>
      <c r="W19" s="37"/>
      <c r="X19" s="37"/>
      <c r="Y1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 s="37"/>
      <c r="AA19" s="662" t="str">
        <f>IF(COUNTA(CCTSAS[[#This Row],[Nom]:[heures annuelles
selon contrat(s)]])=0,"",CCTSAS[[#This Row],[Total global]]-ABS(CCTSAS[[#This Row],[Dont non opposable]]))</f>
        <v/>
      </c>
      <c r="AB19" s="8"/>
      <c r="AC19" s="63"/>
      <c r="AD19" s="428"/>
      <c r="AE19" s="428"/>
      <c r="AF19" s="428"/>
      <c r="AG19" s="43"/>
      <c r="AH19" s="183" t="str">
        <f>IF(COUNTA(CCTSAS[[#This Row],[Nom]:[heures annuelles
selon contrat(s)]])=0,"",REVEX!$E$9)</f>
        <v/>
      </c>
      <c r="AI19" s="72" t="str">
        <f>IF(CCTSAS[[#This Row],[Allocation fonctions]]="","",IF(ISNA(VLOOKUP(CCTSAS[[#This Row],[Allocation fonctions]],DROPDOWN[Dropdown82],1,FALSE))=TRUE,"Veuillez utiliser les allocations parmis la liste déroulante.",""))</f>
        <v/>
      </c>
    </row>
    <row r="20" spans="1:35" x14ac:dyDescent="0.25">
      <c r="A20" s="72" t="str">
        <f>IF(CCTSAS[[#This Row],[Carrière]]="","",IF(ISNA(VLOOKUP(CCTSAS[[#This Row],[Carrière]],DROPDOWN[Dropdown9],1,FALSE))=TRUE,"Carrière: Utiliser la liste déroulante",""))</f>
        <v/>
      </c>
      <c r="B20" s="554" t="str">
        <f>IF(CCTSAS[[#This Row],[Matricule]]="","",MAX($B$7:B19)+1)</f>
        <v/>
      </c>
      <c r="C20" s="8"/>
      <c r="D20" s="8"/>
      <c r="E20" s="20"/>
      <c r="F20" s="63"/>
      <c r="G20" s="8"/>
      <c r="H20" s="8"/>
      <c r="I20" s="10"/>
      <c r="J20" s="10"/>
      <c r="K20" s="9"/>
      <c r="L20" s="9"/>
      <c r="M20" s="9"/>
      <c r="N2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 s="660"/>
      <c r="P20" s="660"/>
      <c r="Q20" s="461"/>
      <c r="R20" s="381"/>
      <c r="S20" s="37"/>
      <c r="T20" s="37"/>
      <c r="U20" s="37"/>
      <c r="V20" s="37"/>
      <c r="W20" s="37"/>
      <c r="X20" s="37"/>
      <c r="Y2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 s="37"/>
      <c r="AA20" s="662" t="str">
        <f>IF(COUNTA(CCTSAS[[#This Row],[Nom]:[heures annuelles
selon contrat(s)]])=0,"",CCTSAS[[#This Row],[Total global]]-ABS(CCTSAS[[#This Row],[Dont non opposable]]))</f>
        <v/>
      </c>
      <c r="AB20" s="8"/>
      <c r="AC20" s="63"/>
      <c r="AD20" s="428"/>
      <c r="AE20" s="428"/>
      <c r="AF20" s="428"/>
      <c r="AG20" s="43"/>
      <c r="AH20" s="183" t="str">
        <f>IF(COUNTA(CCTSAS[[#This Row],[Nom]:[heures annuelles
selon contrat(s)]])=0,"",REVEX!$E$9)</f>
        <v/>
      </c>
      <c r="AI20" s="72" t="str">
        <f>IF(CCTSAS[[#This Row],[Allocation fonctions]]="","",IF(ISNA(VLOOKUP(CCTSAS[[#This Row],[Allocation fonctions]],DROPDOWN[Dropdown82],1,FALSE))=TRUE,"Veuillez utiliser les allocations parmis la liste déroulante.",""))</f>
        <v/>
      </c>
    </row>
    <row r="21" spans="1:35" x14ac:dyDescent="0.25">
      <c r="A21" s="72" t="str">
        <f>IF(CCTSAS[[#This Row],[Carrière]]="","",IF(ISNA(VLOOKUP(CCTSAS[[#This Row],[Carrière]],DROPDOWN[Dropdown9],1,FALSE))=TRUE,"Carrière: Utiliser la liste déroulante",""))</f>
        <v/>
      </c>
      <c r="B21" s="554" t="str">
        <f>IF(CCTSAS[[#This Row],[Matricule]]="","",MAX($B$7:B20)+1)</f>
        <v/>
      </c>
      <c r="C21" s="8"/>
      <c r="D21" s="8"/>
      <c r="E21" s="20"/>
      <c r="F21" s="63"/>
      <c r="G21" s="8"/>
      <c r="H21" s="8"/>
      <c r="I21" s="10"/>
      <c r="J21" s="10"/>
      <c r="K21" s="9"/>
      <c r="L21" s="9"/>
      <c r="M21" s="9"/>
      <c r="N2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 s="660"/>
      <c r="P21" s="660"/>
      <c r="Q21" s="461"/>
      <c r="R21" s="381"/>
      <c r="S21" s="37"/>
      <c r="T21" s="37"/>
      <c r="U21" s="37"/>
      <c r="V21" s="37"/>
      <c r="W21" s="37"/>
      <c r="X21" s="37"/>
      <c r="Y2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 s="37"/>
      <c r="AA21" s="662" t="str">
        <f>IF(COUNTA(CCTSAS[[#This Row],[Nom]:[heures annuelles
selon contrat(s)]])=0,"",CCTSAS[[#This Row],[Total global]]-ABS(CCTSAS[[#This Row],[Dont non opposable]]))</f>
        <v/>
      </c>
      <c r="AB21" s="8"/>
      <c r="AC21" s="63"/>
      <c r="AD21" s="428"/>
      <c r="AE21" s="428"/>
      <c r="AF21" s="428"/>
      <c r="AG21" s="43"/>
      <c r="AH21" s="183" t="str">
        <f>IF(COUNTA(CCTSAS[[#This Row],[Nom]:[heures annuelles
selon contrat(s)]])=0,"",REVEX!$E$9)</f>
        <v/>
      </c>
      <c r="AI21" s="72" t="str">
        <f>IF(CCTSAS[[#This Row],[Allocation fonctions]]="","",IF(ISNA(VLOOKUP(CCTSAS[[#This Row],[Allocation fonctions]],DROPDOWN[Dropdown82],1,FALSE))=TRUE,"Veuillez utiliser les allocations parmis la liste déroulante.",""))</f>
        <v/>
      </c>
    </row>
    <row r="22" spans="1:35" x14ac:dyDescent="0.25">
      <c r="A22" s="72" t="str">
        <f>IF(CCTSAS[[#This Row],[Carrière]]="","",IF(ISNA(VLOOKUP(CCTSAS[[#This Row],[Carrière]],DROPDOWN[Dropdown9],1,FALSE))=TRUE,"Carrière: Utiliser la liste déroulante",""))</f>
        <v/>
      </c>
      <c r="B22" s="554" t="str">
        <f>IF(CCTSAS[[#This Row],[Matricule]]="","",MAX($B$7:B21)+1)</f>
        <v/>
      </c>
      <c r="C22" s="8"/>
      <c r="D22" s="8"/>
      <c r="E22" s="20"/>
      <c r="F22" s="63"/>
      <c r="G22" s="8"/>
      <c r="H22" s="8"/>
      <c r="I22" s="10"/>
      <c r="J22" s="10"/>
      <c r="K22" s="9"/>
      <c r="L22" s="9"/>
      <c r="M22" s="9"/>
      <c r="N2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 s="660"/>
      <c r="P22" s="660"/>
      <c r="Q22" s="461"/>
      <c r="R22" s="381"/>
      <c r="S22" s="37"/>
      <c r="T22" s="37"/>
      <c r="U22" s="37"/>
      <c r="V22" s="37"/>
      <c r="W22" s="37"/>
      <c r="X22" s="37"/>
      <c r="Y2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 s="37"/>
      <c r="AA22" s="662" t="str">
        <f>IF(COUNTA(CCTSAS[[#This Row],[Nom]:[heures annuelles
selon contrat(s)]])=0,"",CCTSAS[[#This Row],[Total global]]-ABS(CCTSAS[[#This Row],[Dont non opposable]]))</f>
        <v/>
      </c>
      <c r="AB22" s="8"/>
      <c r="AC22" s="63"/>
      <c r="AD22" s="428"/>
      <c r="AE22" s="428"/>
      <c r="AF22" s="428"/>
      <c r="AG22" s="43"/>
      <c r="AH22" s="183" t="str">
        <f>IF(COUNTA(CCTSAS[[#This Row],[Nom]:[heures annuelles
selon contrat(s)]])=0,"",REVEX!$E$9)</f>
        <v/>
      </c>
      <c r="AI22" s="72" t="str">
        <f>IF(CCTSAS[[#This Row],[Allocation fonctions]]="","",IF(ISNA(VLOOKUP(CCTSAS[[#This Row],[Allocation fonctions]],DROPDOWN[Dropdown82],1,FALSE))=TRUE,"Veuillez utiliser les allocations parmis la liste déroulante.",""))</f>
        <v/>
      </c>
    </row>
    <row r="23" spans="1:35" x14ac:dyDescent="0.25">
      <c r="A23" s="72" t="str">
        <f>IF(CCTSAS[[#This Row],[Carrière]]="","",IF(ISNA(VLOOKUP(CCTSAS[[#This Row],[Carrière]],DROPDOWN[Dropdown9],1,FALSE))=TRUE,"Carrière: Utiliser la liste déroulante",""))</f>
        <v/>
      </c>
      <c r="B23" s="554" t="str">
        <f>IF(CCTSAS[[#This Row],[Matricule]]="","",MAX($B$7:B22)+1)</f>
        <v/>
      </c>
      <c r="C23" s="8"/>
      <c r="D23" s="8"/>
      <c r="E23" s="20"/>
      <c r="F23" s="63"/>
      <c r="G23" s="8"/>
      <c r="H23" s="8"/>
      <c r="I23" s="10"/>
      <c r="J23" s="10"/>
      <c r="K23" s="9"/>
      <c r="L23" s="9"/>
      <c r="M23" s="9"/>
      <c r="N2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 s="660"/>
      <c r="P23" s="660"/>
      <c r="Q23" s="461"/>
      <c r="R23" s="381"/>
      <c r="S23" s="37"/>
      <c r="T23" s="37"/>
      <c r="U23" s="37"/>
      <c r="V23" s="37"/>
      <c r="W23" s="37"/>
      <c r="X23" s="37"/>
      <c r="Y2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 s="37"/>
      <c r="AA23" s="662" t="str">
        <f>IF(COUNTA(CCTSAS[[#This Row],[Nom]:[heures annuelles
selon contrat(s)]])=0,"",CCTSAS[[#This Row],[Total global]]-ABS(CCTSAS[[#This Row],[Dont non opposable]]))</f>
        <v/>
      </c>
      <c r="AB23" s="8"/>
      <c r="AC23" s="63"/>
      <c r="AD23" s="428"/>
      <c r="AE23" s="428"/>
      <c r="AF23" s="428"/>
      <c r="AG23" s="43"/>
      <c r="AH23" s="183" t="str">
        <f>IF(COUNTA(CCTSAS[[#This Row],[Nom]:[heures annuelles
selon contrat(s)]])=0,"",REVEX!$E$9)</f>
        <v/>
      </c>
      <c r="AI23" s="72" t="str">
        <f>IF(CCTSAS[[#This Row],[Allocation fonctions]]="","",IF(ISNA(VLOOKUP(CCTSAS[[#This Row],[Allocation fonctions]],DROPDOWN[Dropdown82],1,FALSE))=TRUE,"Veuillez utiliser les allocations parmis la liste déroulante.",""))</f>
        <v/>
      </c>
    </row>
    <row r="24" spans="1:35" x14ac:dyDescent="0.25">
      <c r="A24" s="72" t="str">
        <f>IF(CCTSAS[[#This Row],[Carrière]]="","",IF(ISNA(VLOOKUP(CCTSAS[[#This Row],[Carrière]],DROPDOWN[Dropdown9],1,FALSE))=TRUE,"Carrière: Utiliser la liste déroulante",""))</f>
        <v/>
      </c>
      <c r="B24" s="554" t="str">
        <f>IF(CCTSAS[[#This Row],[Matricule]]="","",MAX($B$7:B23)+1)</f>
        <v/>
      </c>
      <c r="C24" s="8"/>
      <c r="D24" s="8"/>
      <c r="E24" s="20"/>
      <c r="F24" s="63"/>
      <c r="G24" s="8"/>
      <c r="H24" s="8"/>
      <c r="I24" s="10"/>
      <c r="J24" s="10"/>
      <c r="K24" s="9"/>
      <c r="L24" s="9"/>
      <c r="M24" s="9"/>
      <c r="N2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 s="660"/>
      <c r="P24" s="660"/>
      <c r="Q24" s="461"/>
      <c r="R24" s="381"/>
      <c r="S24" s="37"/>
      <c r="T24" s="37"/>
      <c r="U24" s="37"/>
      <c r="V24" s="37"/>
      <c r="W24" s="37"/>
      <c r="X24" s="37"/>
      <c r="Y2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 s="37"/>
      <c r="AA24" s="662" t="str">
        <f>IF(COUNTA(CCTSAS[[#This Row],[Nom]:[heures annuelles
selon contrat(s)]])=0,"",CCTSAS[[#This Row],[Total global]]-ABS(CCTSAS[[#This Row],[Dont non opposable]]))</f>
        <v/>
      </c>
      <c r="AB24" s="8"/>
      <c r="AC24" s="63"/>
      <c r="AD24" s="428"/>
      <c r="AE24" s="428"/>
      <c r="AF24" s="428"/>
      <c r="AG24" s="43"/>
      <c r="AH24" s="183" t="str">
        <f>IF(COUNTA(CCTSAS[[#This Row],[Nom]:[heures annuelles
selon contrat(s)]])=0,"",REVEX!$E$9)</f>
        <v/>
      </c>
      <c r="AI24" s="72" t="str">
        <f>IF(CCTSAS[[#This Row],[Allocation fonctions]]="","",IF(ISNA(VLOOKUP(CCTSAS[[#This Row],[Allocation fonctions]],DROPDOWN[Dropdown82],1,FALSE))=TRUE,"Veuillez utiliser les allocations parmis la liste déroulante.",""))</f>
        <v/>
      </c>
    </row>
    <row r="25" spans="1:35" x14ac:dyDescent="0.25">
      <c r="A25" s="72" t="str">
        <f>IF(CCTSAS[[#This Row],[Carrière]]="","",IF(ISNA(VLOOKUP(CCTSAS[[#This Row],[Carrière]],DROPDOWN[Dropdown9],1,FALSE))=TRUE,"Carrière: Utiliser la liste déroulante",""))</f>
        <v/>
      </c>
      <c r="B25" s="554" t="str">
        <f>IF(CCTSAS[[#This Row],[Matricule]]="","",MAX($B$7:B24)+1)</f>
        <v/>
      </c>
      <c r="C25" s="8"/>
      <c r="D25" s="8"/>
      <c r="E25" s="20"/>
      <c r="F25" s="63"/>
      <c r="G25" s="8"/>
      <c r="H25" s="8"/>
      <c r="I25" s="10"/>
      <c r="J25" s="10"/>
      <c r="K25" s="9"/>
      <c r="L25" s="9"/>
      <c r="M25" s="9"/>
      <c r="N2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 s="660"/>
      <c r="P25" s="660"/>
      <c r="Q25" s="461"/>
      <c r="R25" s="381"/>
      <c r="S25" s="37"/>
      <c r="T25" s="37"/>
      <c r="U25" s="37"/>
      <c r="V25" s="37"/>
      <c r="W25" s="37"/>
      <c r="X25" s="37"/>
      <c r="Y2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 s="37"/>
      <c r="AA25" s="662" t="str">
        <f>IF(COUNTA(CCTSAS[[#This Row],[Nom]:[heures annuelles
selon contrat(s)]])=0,"",CCTSAS[[#This Row],[Total global]]-ABS(CCTSAS[[#This Row],[Dont non opposable]]))</f>
        <v/>
      </c>
      <c r="AB25" s="8"/>
      <c r="AC25" s="63"/>
      <c r="AD25" s="428"/>
      <c r="AE25" s="428"/>
      <c r="AF25" s="428"/>
      <c r="AG25" s="43"/>
      <c r="AH25" s="183" t="str">
        <f>IF(COUNTA(CCTSAS[[#This Row],[Nom]:[heures annuelles
selon contrat(s)]])=0,"",REVEX!$E$9)</f>
        <v/>
      </c>
      <c r="AI25" s="72" t="str">
        <f>IF(CCTSAS[[#This Row],[Allocation fonctions]]="","",IF(ISNA(VLOOKUP(CCTSAS[[#This Row],[Allocation fonctions]],DROPDOWN[Dropdown82],1,FALSE))=TRUE,"Veuillez utiliser les allocations parmis la liste déroulante.",""))</f>
        <v/>
      </c>
    </row>
    <row r="26" spans="1:35" x14ac:dyDescent="0.25">
      <c r="A26" s="72" t="str">
        <f>IF(CCTSAS[[#This Row],[Carrière]]="","",IF(ISNA(VLOOKUP(CCTSAS[[#This Row],[Carrière]],DROPDOWN[Dropdown9],1,FALSE))=TRUE,"Carrière: Utiliser la liste déroulante",""))</f>
        <v/>
      </c>
      <c r="B26" s="554" t="str">
        <f>IF(CCTSAS[[#This Row],[Matricule]]="","",MAX($B$7:B25)+1)</f>
        <v/>
      </c>
      <c r="C26" s="8"/>
      <c r="D26" s="8"/>
      <c r="E26" s="20"/>
      <c r="F26" s="63"/>
      <c r="G26" s="8"/>
      <c r="H26" s="8"/>
      <c r="I26" s="10"/>
      <c r="J26" s="10"/>
      <c r="K26" s="9"/>
      <c r="L26" s="9"/>
      <c r="M26" s="9"/>
      <c r="N2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 s="660"/>
      <c r="P26" s="660"/>
      <c r="Q26" s="461"/>
      <c r="R26" s="381"/>
      <c r="S26" s="37"/>
      <c r="T26" s="37"/>
      <c r="U26" s="37"/>
      <c r="V26" s="37"/>
      <c r="W26" s="37"/>
      <c r="X26" s="37"/>
      <c r="Y2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 s="37"/>
      <c r="AA26" s="662" t="str">
        <f>IF(COUNTA(CCTSAS[[#This Row],[Nom]:[heures annuelles
selon contrat(s)]])=0,"",CCTSAS[[#This Row],[Total global]]-ABS(CCTSAS[[#This Row],[Dont non opposable]]))</f>
        <v/>
      </c>
      <c r="AB26" s="8"/>
      <c r="AC26" s="63"/>
      <c r="AD26" s="428"/>
      <c r="AE26" s="428"/>
      <c r="AF26" s="428"/>
      <c r="AG26" s="43"/>
      <c r="AH26" s="183" t="str">
        <f>IF(COUNTA(CCTSAS[[#This Row],[Nom]:[heures annuelles
selon contrat(s)]])=0,"",REVEX!$E$9)</f>
        <v/>
      </c>
      <c r="AI26" s="72" t="str">
        <f>IF(CCTSAS[[#This Row],[Allocation fonctions]]="","",IF(ISNA(VLOOKUP(CCTSAS[[#This Row],[Allocation fonctions]],DROPDOWN[Dropdown82],1,FALSE))=TRUE,"Veuillez utiliser les allocations parmis la liste déroulante.",""))</f>
        <v/>
      </c>
    </row>
    <row r="27" spans="1:35" x14ac:dyDescent="0.25">
      <c r="A27" s="72" t="str">
        <f>IF(CCTSAS[[#This Row],[Carrière]]="","",IF(ISNA(VLOOKUP(CCTSAS[[#This Row],[Carrière]],DROPDOWN[Dropdown9],1,FALSE))=TRUE,"Carrière: Utiliser la liste déroulante",""))</f>
        <v/>
      </c>
      <c r="B27" s="554" t="str">
        <f>IF(CCTSAS[[#This Row],[Matricule]]="","",MAX($B$7:B26)+1)</f>
        <v/>
      </c>
      <c r="C27" s="8"/>
      <c r="D27" s="8"/>
      <c r="E27" s="20"/>
      <c r="F27" s="63"/>
      <c r="G27" s="8"/>
      <c r="H27" s="8"/>
      <c r="I27" s="10"/>
      <c r="J27" s="10"/>
      <c r="K27" s="9"/>
      <c r="L27" s="9"/>
      <c r="M27" s="9"/>
      <c r="N2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 s="660"/>
      <c r="P27" s="660"/>
      <c r="Q27" s="461"/>
      <c r="R27" s="381"/>
      <c r="S27" s="37"/>
      <c r="T27" s="37"/>
      <c r="U27" s="37"/>
      <c r="V27" s="37"/>
      <c r="W27" s="37"/>
      <c r="X27" s="37"/>
      <c r="Y2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 s="37"/>
      <c r="AA27" s="662" t="str">
        <f>IF(COUNTA(CCTSAS[[#This Row],[Nom]:[heures annuelles
selon contrat(s)]])=0,"",CCTSAS[[#This Row],[Total global]]-ABS(CCTSAS[[#This Row],[Dont non opposable]]))</f>
        <v/>
      </c>
      <c r="AB27" s="8"/>
      <c r="AC27" s="63"/>
      <c r="AD27" s="428"/>
      <c r="AE27" s="428"/>
      <c r="AF27" s="428"/>
      <c r="AG27" s="43"/>
      <c r="AH27" s="183" t="str">
        <f>IF(COUNTA(CCTSAS[[#This Row],[Nom]:[heures annuelles
selon contrat(s)]])=0,"",REVEX!$E$9)</f>
        <v/>
      </c>
      <c r="AI27" s="72" t="str">
        <f>IF(CCTSAS[[#This Row],[Allocation fonctions]]="","",IF(ISNA(VLOOKUP(CCTSAS[[#This Row],[Allocation fonctions]],DROPDOWN[Dropdown82],1,FALSE))=TRUE,"Veuillez utiliser les allocations parmis la liste déroulante.",""))</f>
        <v/>
      </c>
    </row>
    <row r="28" spans="1:35" x14ac:dyDescent="0.25">
      <c r="A28" s="72" t="str">
        <f>IF(CCTSAS[[#This Row],[Carrière]]="","",IF(ISNA(VLOOKUP(CCTSAS[[#This Row],[Carrière]],DROPDOWN[Dropdown9],1,FALSE))=TRUE,"Carrière: Utiliser la liste déroulante",""))</f>
        <v/>
      </c>
      <c r="B28" s="554" t="str">
        <f>IF(CCTSAS[[#This Row],[Matricule]]="","",MAX($B$7:B27)+1)</f>
        <v/>
      </c>
      <c r="C28" s="8"/>
      <c r="D28" s="8"/>
      <c r="E28" s="20"/>
      <c r="F28" s="63"/>
      <c r="G28" s="8"/>
      <c r="H28" s="8"/>
      <c r="I28" s="10"/>
      <c r="J28" s="10"/>
      <c r="K28" s="9"/>
      <c r="L28" s="9"/>
      <c r="M28" s="9"/>
      <c r="N2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 s="660"/>
      <c r="P28" s="660"/>
      <c r="Q28" s="461"/>
      <c r="R28" s="381"/>
      <c r="S28" s="37"/>
      <c r="T28" s="37"/>
      <c r="U28" s="37"/>
      <c r="V28" s="37"/>
      <c r="W28" s="37"/>
      <c r="X28" s="37"/>
      <c r="Y2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 s="37"/>
      <c r="AA28" s="662" t="str">
        <f>IF(COUNTA(CCTSAS[[#This Row],[Nom]:[heures annuelles
selon contrat(s)]])=0,"",CCTSAS[[#This Row],[Total global]]-ABS(CCTSAS[[#This Row],[Dont non opposable]]))</f>
        <v/>
      </c>
      <c r="AB28" s="8"/>
      <c r="AC28" s="63"/>
      <c r="AD28" s="428"/>
      <c r="AE28" s="428"/>
      <c r="AF28" s="428"/>
      <c r="AG28" s="43"/>
      <c r="AH28" s="183" t="str">
        <f>IF(COUNTA(CCTSAS[[#This Row],[Nom]:[heures annuelles
selon contrat(s)]])=0,"",REVEX!$E$9)</f>
        <v/>
      </c>
      <c r="AI28" s="72" t="str">
        <f>IF(CCTSAS[[#This Row],[Allocation fonctions]]="","",IF(ISNA(VLOOKUP(CCTSAS[[#This Row],[Allocation fonctions]],DROPDOWN[Dropdown82],1,FALSE))=TRUE,"Veuillez utiliser les allocations parmis la liste déroulante.",""))</f>
        <v/>
      </c>
    </row>
    <row r="29" spans="1:35" x14ac:dyDescent="0.25">
      <c r="A29" s="72" t="str">
        <f>IF(CCTSAS[[#This Row],[Carrière]]="","",IF(ISNA(VLOOKUP(CCTSAS[[#This Row],[Carrière]],DROPDOWN[Dropdown9],1,FALSE))=TRUE,"Carrière: Utiliser la liste déroulante",""))</f>
        <v/>
      </c>
      <c r="B29" s="554" t="str">
        <f>IF(CCTSAS[[#This Row],[Matricule]]="","",MAX($B$7:B28)+1)</f>
        <v/>
      </c>
      <c r="C29" s="8"/>
      <c r="D29" s="8"/>
      <c r="E29" s="20"/>
      <c r="F29" s="63"/>
      <c r="G29" s="8"/>
      <c r="H29" s="8"/>
      <c r="I29" s="10"/>
      <c r="J29" s="10"/>
      <c r="K29" s="9"/>
      <c r="L29" s="9"/>
      <c r="M29" s="9"/>
      <c r="N2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 s="660"/>
      <c r="P29" s="660"/>
      <c r="Q29" s="461"/>
      <c r="R29" s="381"/>
      <c r="S29" s="37"/>
      <c r="T29" s="37"/>
      <c r="U29" s="37"/>
      <c r="V29" s="37"/>
      <c r="W29" s="37"/>
      <c r="X29" s="37"/>
      <c r="Y2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 s="37"/>
      <c r="AA29" s="662" t="str">
        <f>IF(COUNTA(CCTSAS[[#This Row],[Nom]:[heures annuelles
selon contrat(s)]])=0,"",CCTSAS[[#This Row],[Total global]]-ABS(CCTSAS[[#This Row],[Dont non opposable]]))</f>
        <v/>
      </c>
      <c r="AB29" s="8"/>
      <c r="AC29" s="63"/>
      <c r="AD29" s="428"/>
      <c r="AE29" s="428"/>
      <c r="AF29" s="428"/>
      <c r="AG29" s="43"/>
      <c r="AH29" s="183" t="str">
        <f>IF(COUNTA(CCTSAS[[#This Row],[Nom]:[heures annuelles
selon contrat(s)]])=0,"",REVEX!$E$9)</f>
        <v/>
      </c>
      <c r="AI29" s="72" t="str">
        <f>IF(CCTSAS[[#This Row],[Allocation fonctions]]="","",IF(ISNA(VLOOKUP(CCTSAS[[#This Row],[Allocation fonctions]],DROPDOWN[Dropdown82],1,FALSE))=TRUE,"Veuillez utiliser les allocations parmis la liste déroulante.",""))</f>
        <v/>
      </c>
    </row>
    <row r="30" spans="1:35" x14ac:dyDescent="0.25">
      <c r="A30" s="72" t="str">
        <f>IF(CCTSAS[[#This Row],[Carrière]]="","",IF(ISNA(VLOOKUP(CCTSAS[[#This Row],[Carrière]],DROPDOWN[Dropdown9],1,FALSE))=TRUE,"Carrière: Utiliser la liste déroulante",""))</f>
        <v/>
      </c>
      <c r="B30" s="554" t="str">
        <f>IF(CCTSAS[[#This Row],[Matricule]]="","",MAX($B$7:B29)+1)</f>
        <v/>
      </c>
      <c r="C30" s="8"/>
      <c r="D30" s="8"/>
      <c r="E30" s="20"/>
      <c r="F30" s="63"/>
      <c r="G30" s="8"/>
      <c r="H30" s="8"/>
      <c r="I30" s="10"/>
      <c r="J30" s="10"/>
      <c r="K30" s="9"/>
      <c r="L30" s="9"/>
      <c r="M30" s="9"/>
      <c r="N3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 s="660"/>
      <c r="P30" s="660"/>
      <c r="Q30" s="461"/>
      <c r="R30" s="381"/>
      <c r="S30" s="37"/>
      <c r="T30" s="37"/>
      <c r="U30" s="37"/>
      <c r="V30" s="37"/>
      <c r="W30" s="37"/>
      <c r="X30" s="37"/>
      <c r="Y3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 s="37"/>
      <c r="AA30" s="662" t="str">
        <f>IF(COUNTA(CCTSAS[[#This Row],[Nom]:[heures annuelles
selon contrat(s)]])=0,"",CCTSAS[[#This Row],[Total global]]-ABS(CCTSAS[[#This Row],[Dont non opposable]]))</f>
        <v/>
      </c>
      <c r="AB30" s="8"/>
      <c r="AC30" s="63"/>
      <c r="AD30" s="428"/>
      <c r="AE30" s="428"/>
      <c r="AF30" s="428"/>
      <c r="AG30" s="43"/>
      <c r="AH30" s="183" t="str">
        <f>IF(COUNTA(CCTSAS[[#This Row],[Nom]:[heures annuelles
selon contrat(s)]])=0,"",REVEX!$E$9)</f>
        <v/>
      </c>
      <c r="AI30" s="72" t="str">
        <f>IF(CCTSAS[[#This Row],[Allocation fonctions]]="","",IF(ISNA(VLOOKUP(CCTSAS[[#This Row],[Allocation fonctions]],DROPDOWN[Dropdown82],1,FALSE))=TRUE,"Veuillez utiliser les allocations parmis la liste déroulante.",""))</f>
        <v/>
      </c>
    </row>
    <row r="31" spans="1:35" x14ac:dyDescent="0.25">
      <c r="A31" s="72" t="str">
        <f>IF(CCTSAS[[#This Row],[Carrière]]="","",IF(ISNA(VLOOKUP(CCTSAS[[#This Row],[Carrière]],DROPDOWN[Dropdown9],1,FALSE))=TRUE,"Carrière: Utiliser la liste déroulante",""))</f>
        <v/>
      </c>
      <c r="B31" s="554" t="str">
        <f>IF(CCTSAS[[#This Row],[Matricule]]="","",MAX($B$7:B30)+1)</f>
        <v/>
      </c>
      <c r="C31" s="8"/>
      <c r="D31" s="8"/>
      <c r="E31" s="20"/>
      <c r="F31" s="63"/>
      <c r="G31" s="8"/>
      <c r="H31" s="8"/>
      <c r="I31" s="10"/>
      <c r="J31" s="10"/>
      <c r="K31" s="9"/>
      <c r="L31" s="9"/>
      <c r="M31" s="9"/>
      <c r="N3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 s="660"/>
      <c r="P31" s="660"/>
      <c r="Q31" s="461"/>
      <c r="R31" s="381"/>
      <c r="S31" s="37"/>
      <c r="T31" s="37"/>
      <c r="U31" s="37"/>
      <c r="V31" s="37"/>
      <c r="W31" s="37"/>
      <c r="X31" s="37"/>
      <c r="Y3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 s="37"/>
      <c r="AA31" s="662" t="str">
        <f>IF(COUNTA(CCTSAS[[#This Row],[Nom]:[heures annuelles
selon contrat(s)]])=0,"",CCTSAS[[#This Row],[Total global]]-ABS(CCTSAS[[#This Row],[Dont non opposable]]))</f>
        <v/>
      </c>
      <c r="AB31" s="8"/>
      <c r="AC31" s="63"/>
      <c r="AD31" s="428"/>
      <c r="AE31" s="428"/>
      <c r="AF31" s="428"/>
      <c r="AG31" s="43"/>
      <c r="AH31" s="183" t="str">
        <f>IF(COUNTA(CCTSAS[[#This Row],[Nom]:[heures annuelles
selon contrat(s)]])=0,"",REVEX!$E$9)</f>
        <v/>
      </c>
      <c r="AI31" s="72" t="str">
        <f>IF(CCTSAS[[#This Row],[Allocation fonctions]]="","",IF(ISNA(VLOOKUP(CCTSAS[[#This Row],[Allocation fonctions]],DROPDOWN[Dropdown82],1,FALSE))=TRUE,"Veuillez utiliser les allocations parmis la liste déroulante.",""))</f>
        <v/>
      </c>
    </row>
    <row r="32" spans="1:35" x14ac:dyDescent="0.25">
      <c r="A32" s="72" t="str">
        <f>IF(CCTSAS[[#This Row],[Carrière]]="","",IF(ISNA(VLOOKUP(CCTSAS[[#This Row],[Carrière]],DROPDOWN[Dropdown9],1,FALSE))=TRUE,"Carrière: Utiliser la liste déroulante",""))</f>
        <v/>
      </c>
      <c r="B32" s="554" t="str">
        <f>IF(CCTSAS[[#This Row],[Matricule]]="","",MAX($B$7:B31)+1)</f>
        <v/>
      </c>
      <c r="C32" s="8"/>
      <c r="D32" s="8"/>
      <c r="E32" s="20"/>
      <c r="F32" s="63"/>
      <c r="G32" s="8"/>
      <c r="H32" s="8"/>
      <c r="I32" s="10"/>
      <c r="J32" s="10"/>
      <c r="K32" s="9"/>
      <c r="L32" s="9"/>
      <c r="M32" s="9"/>
      <c r="N3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 s="660"/>
      <c r="P32" s="660"/>
      <c r="Q32" s="461"/>
      <c r="R32" s="381"/>
      <c r="S32" s="37"/>
      <c r="T32" s="37"/>
      <c r="U32" s="37"/>
      <c r="V32" s="37"/>
      <c r="W32" s="37"/>
      <c r="X32" s="37"/>
      <c r="Y3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 s="37"/>
      <c r="AA32" s="662" t="str">
        <f>IF(COUNTA(CCTSAS[[#This Row],[Nom]:[heures annuelles
selon contrat(s)]])=0,"",CCTSAS[[#This Row],[Total global]]-ABS(CCTSAS[[#This Row],[Dont non opposable]]))</f>
        <v/>
      </c>
      <c r="AB32" s="8"/>
      <c r="AC32" s="63"/>
      <c r="AD32" s="428"/>
      <c r="AE32" s="428"/>
      <c r="AF32" s="428"/>
      <c r="AG32" s="43"/>
      <c r="AH32" s="183" t="str">
        <f>IF(COUNTA(CCTSAS[[#This Row],[Nom]:[heures annuelles
selon contrat(s)]])=0,"",REVEX!$E$9)</f>
        <v/>
      </c>
      <c r="AI32" s="72" t="str">
        <f>IF(CCTSAS[[#This Row],[Allocation fonctions]]="","",IF(ISNA(VLOOKUP(CCTSAS[[#This Row],[Allocation fonctions]],DROPDOWN[Dropdown82],1,FALSE))=TRUE,"Veuillez utiliser les allocations parmis la liste déroulante.",""))</f>
        <v/>
      </c>
    </row>
    <row r="33" spans="1:35" x14ac:dyDescent="0.25">
      <c r="A33" s="72" t="str">
        <f>IF(CCTSAS[[#This Row],[Carrière]]="","",IF(ISNA(VLOOKUP(CCTSAS[[#This Row],[Carrière]],DROPDOWN[Dropdown9],1,FALSE))=TRUE,"Carrière: Utiliser la liste déroulante",""))</f>
        <v/>
      </c>
      <c r="B33" s="554" t="str">
        <f>IF(CCTSAS[[#This Row],[Matricule]]="","",MAX($B$7:B32)+1)</f>
        <v/>
      </c>
      <c r="C33" s="8"/>
      <c r="D33" s="8"/>
      <c r="E33" s="20"/>
      <c r="F33" s="63"/>
      <c r="G33" s="8"/>
      <c r="H33" s="8"/>
      <c r="I33" s="10"/>
      <c r="J33" s="10"/>
      <c r="K33" s="9"/>
      <c r="L33" s="9"/>
      <c r="M33" s="9"/>
      <c r="N3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 s="660"/>
      <c r="P33" s="660"/>
      <c r="Q33" s="461"/>
      <c r="R33" s="381"/>
      <c r="S33" s="37"/>
      <c r="T33" s="37"/>
      <c r="U33" s="37"/>
      <c r="V33" s="37"/>
      <c r="W33" s="37"/>
      <c r="X33" s="37"/>
      <c r="Y3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 s="37"/>
      <c r="AA33" s="662" t="str">
        <f>IF(COUNTA(CCTSAS[[#This Row],[Nom]:[heures annuelles
selon contrat(s)]])=0,"",CCTSAS[[#This Row],[Total global]]-ABS(CCTSAS[[#This Row],[Dont non opposable]]))</f>
        <v/>
      </c>
      <c r="AB33" s="8"/>
      <c r="AC33" s="63"/>
      <c r="AD33" s="428"/>
      <c r="AE33" s="428"/>
      <c r="AF33" s="428"/>
      <c r="AG33" s="43"/>
      <c r="AH33" s="183" t="str">
        <f>IF(COUNTA(CCTSAS[[#This Row],[Nom]:[heures annuelles
selon contrat(s)]])=0,"",REVEX!$E$9)</f>
        <v/>
      </c>
      <c r="AI33" s="72" t="str">
        <f>IF(CCTSAS[[#This Row],[Allocation fonctions]]="","",IF(ISNA(VLOOKUP(CCTSAS[[#This Row],[Allocation fonctions]],DROPDOWN[Dropdown82],1,FALSE))=TRUE,"Veuillez utiliser les allocations parmis la liste déroulante.",""))</f>
        <v/>
      </c>
    </row>
    <row r="34" spans="1:35" x14ac:dyDescent="0.25">
      <c r="A34" s="72" t="str">
        <f>IF(CCTSAS[[#This Row],[Carrière]]="","",IF(ISNA(VLOOKUP(CCTSAS[[#This Row],[Carrière]],DROPDOWN[Dropdown9],1,FALSE))=TRUE,"Carrière: Utiliser la liste déroulante",""))</f>
        <v/>
      </c>
      <c r="B34" s="554" t="str">
        <f>IF(CCTSAS[[#This Row],[Matricule]]="","",MAX($B$7:B33)+1)</f>
        <v/>
      </c>
      <c r="C34" s="8"/>
      <c r="D34" s="8"/>
      <c r="E34" s="20"/>
      <c r="F34" s="63"/>
      <c r="G34" s="8"/>
      <c r="H34" s="8"/>
      <c r="I34" s="10"/>
      <c r="J34" s="10"/>
      <c r="K34" s="9"/>
      <c r="L34" s="9"/>
      <c r="M34" s="9"/>
      <c r="N3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 s="660"/>
      <c r="P34" s="660"/>
      <c r="Q34" s="461"/>
      <c r="R34" s="381"/>
      <c r="S34" s="37"/>
      <c r="T34" s="37"/>
      <c r="U34" s="37"/>
      <c r="V34" s="37"/>
      <c r="W34" s="37"/>
      <c r="X34" s="37"/>
      <c r="Y3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 s="37"/>
      <c r="AA34" s="662" t="str">
        <f>IF(COUNTA(CCTSAS[[#This Row],[Nom]:[heures annuelles
selon contrat(s)]])=0,"",CCTSAS[[#This Row],[Total global]]-ABS(CCTSAS[[#This Row],[Dont non opposable]]))</f>
        <v/>
      </c>
      <c r="AB34" s="8"/>
      <c r="AC34" s="63"/>
      <c r="AD34" s="428"/>
      <c r="AE34" s="428"/>
      <c r="AF34" s="428"/>
      <c r="AG34" s="43"/>
      <c r="AH34" s="183" t="str">
        <f>IF(COUNTA(CCTSAS[[#This Row],[Nom]:[heures annuelles
selon contrat(s)]])=0,"",REVEX!$E$9)</f>
        <v/>
      </c>
      <c r="AI34" s="72" t="str">
        <f>IF(CCTSAS[[#This Row],[Allocation fonctions]]="","",IF(ISNA(VLOOKUP(CCTSAS[[#This Row],[Allocation fonctions]],DROPDOWN[Dropdown82],1,FALSE))=TRUE,"Veuillez utiliser les allocations parmis la liste déroulante.",""))</f>
        <v/>
      </c>
    </row>
    <row r="35" spans="1:35" x14ac:dyDescent="0.25">
      <c r="A35" s="72" t="str">
        <f>IF(CCTSAS[[#This Row],[Carrière]]="","",IF(ISNA(VLOOKUP(CCTSAS[[#This Row],[Carrière]],DROPDOWN[Dropdown9],1,FALSE))=TRUE,"Carrière: Utiliser la liste déroulante",""))</f>
        <v/>
      </c>
      <c r="B35" s="554" t="str">
        <f>IF(CCTSAS[[#This Row],[Matricule]]="","",MAX($B$7:B34)+1)</f>
        <v/>
      </c>
      <c r="C35" s="8"/>
      <c r="D35" s="8"/>
      <c r="E35" s="20"/>
      <c r="F35" s="63"/>
      <c r="G35" s="8"/>
      <c r="H35" s="8"/>
      <c r="I35" s="10"/>
      <c r="J35" s="10"/>
      <c r="K35" s="9"/>
      <c r="L35" s="9"/>
      <c r="M35" s="9"/>
      <c r="N3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 s="660"/>
      <c r="P35" s="660"/>
      <c r="Q35" s="461"/>
      <c r="R35" s="381"/>
      <c r="S35" s="37"/>
      <c r="T35" s="37"/>
      <c r="U35" s="37"/>
      <c r="V35" s="37"/>
      <c r="W35" s="37"/>
      <c r="X35" s="37"/>
      <c r="Y3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 s="37"/>
      <c r="AA35" s="662" t="str">
        <f>IF(COUNTA(CCTSAS[[#This Row],[Nom]:[heures annuelles
selon contrat(s)]])=0,"",CCTSAS[[#This Row],[Total global]]-ABS(CCTSAS[[#This Row],[Dont non opposable]]))</f>
        <v/>
      </c>
      <c r="AB35" s="8"/>
      <c r="AC35" s="63"/>
      <c r="AD35" s="428"/>
      <c r="AE35" s="428"/>
      <c r="AF35" s="428"/>
      <c r="AG35" s="43"/>
      <c r="AH35" s="183" t="str">
        <f>IF(COUNTA(CCTSAS[[#This Row],[Nom]:[heures annuelles
selon contrat(s)]])=0,"",REVEX!$E$9)</f>
        <v/>
      </c>
      <c r="AI35" s="72" t="str">
        <f>IF(CCTSAS[[#This Row],[Allocation fonctions]]="","",IF(ISNA(VLOOKUP(CCTSAS[[#This Row],[Allocation fonctions]],DROPDOWN[Dropdown82],1,FALSE))=TRUE,"Veuillez utiliser les allocations parmis la liste déroulante.",""))</f>
        <v/>
      </c>
    </row>
    <row r="36" spans="1:35" x14ac:dyDescent="0.25">
      <c r="A36" s="72" t="str">
        <f>IF(CCTSAS[[#This Row],[Carrière]]="","",IF(ISNA(VLOOKUP(CCTSAS[[#This Row],[Carrière]],DROPDOWN[Dropdown9],1,FALSE))=TRUE,"Carrière: Utiliser la liste déroulante",""))</f>
        <v/>
      </c>
      <c r="B36" s="554" t="str">
        <f>IF(CCTSAS[[#This Row],[Matricule]]="","",MAX($B$7:B35)+1)</f>
        <v/>
      </c>
      <c r="C36" s="8"/>
      <c r="D36" s="8"/>
      <c r="E36" s="20"/>
      <c r="F36" s="63"/>
      <c r="G36" s="8"/>
      <c r="H36" s="8"/>
      <c r="I36" s="10"/>
      <c r="J36" s="10"/>
      <c r="K36" s="9"/>
      <c r="L36" s="9"/>
      <c r="M36" s="9"/>
      <c r="N3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 s="660"/>
      <c r="P36" s="660"/>
      <c r="Q36" s="461"/>
      <c r="R36" s="381"/>
      <c r="S36" s="37"/>
      <c r="T36" s="37"/>
      <c r="U36" s="37"/>
      <c r="V36" s="37"/>
      <c r="W36" s="37"/>
      <c r="X36" s="37"/>
      <c r="Y3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 s="37"/>
      <c r="AA36" s="662" t="str">
        <f>IF(COUNTA(CCTSAS[[#This Row],[Nom]:[heures annuelles
selon contrat(s)]])=0,"",CCTSAS[[#This Row],[Total global]]-ABS(CCTSAS[[#This Row],[Dont non opposable]]))</f>
        <v/>
      </c>
      <c r="AB36" s="8"/>
      <c r="AC36" s="63"/>
      <c r="AD36" s="428"/>
      <c r="AE36" s="428"/>
      <c r="AF36" s="428"/>
      <c r="AG36" s="43"/>
      <c r="AH36" s="183" t="str">
        <f>IF(COUNTA(CCTSAS[[#This Row],[Nom]:[heures annuelles
selon contrat(s)]])=0,"",REVEX!$E$9)</f>
        <v/>
      </c>
      <c r="AI36" s="72" t="str">
        <f>IF(CCTSAS[[#This Row],[Allocation fonctions]]="","",IF(ISNA(VLOOKUP(CCTSAS[[#This Row],[Allocation fonctions]],DROPDOWN[Dropdown82],1,FALSE))=TRUE,"Veuillez utiliser les allocations parmis la liste déroulante.",""))</f>
        <v/>
      </c>
    </row>
    <row r="37" spans="1:35" x14ac:dyDescent="0.25">
      <c r="A37" s="72" t="str">
        <f>IF(CCTSAS[[#This Row],[Carrière]]="","",IF(ISNA(VLOOKUP(CCTSAS[[#This Row],[Carrière]],DROPDOWN[Dropdown9],1,FALSE))=TRUE,"Carrière: Utiliser la liste déroulante",""))</f>
        <v/>
      </c>
      <c r="B37" s="554" t="str">
        <f>IF(CCTSAS[[#This Row],[Matricule]]="","",MAX($B$7:B36)+1)</f>
        <v/>
      </c>
      <c r="C37" s="8"/>
      <c r="D37" s="8"/>
      <c r="E37" s="20"/>
      <c r="F37" s="63"/>
      <c r="G37" s="8"/>
      <c r="H37" s="8"/>
      <c r="I37" s="10"/>
      <c r="J37" s="10"/>
      <c r="K37" s="9"/>
      <c r="L37" s="9"/>
      <c r="M37" s="9"/>
      <c r="N3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 s="660"/>
      <c r="P37" s="660"/>
      <c r="Q37" s="461"/>
      <c r="R37" s="381"/>
      <c r="S37" s="37"/>
      <c r="T37" s="37"/>
      <c r="U37" s="37"/>
      <c r="V37" s="37"/>
      <c r="W37" s="37"/>
      <c r="X37" s="37"/>
      <c r="Y3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 s="37"/>
      <c r="AA37" s="662" t="str">
        <f>IF(COUNTA(CCTSAS[[#This Row],[Nom]:[heures annuelles
selon contrat(s)]])=0,"",CCTSAS[[#This Row],[Total global]]-ABS(CCTSAS[[#This Row],[Dont non opposable]]))</f>
        <v/>
      </c>
      <c r="AB37" s="8"/>
      <c r="AC37" s="63"/>
      <c r="AD37" s="428"/>
      <c r="AE37" s="428"/>
      <c r="AF37" s="428"/>
      <c r="AG37" s="43"/>
      <c r="AH37" s="183" t="str">
        <f>IF(COUNTA(CCTSAS[[#This Row],[Nom]:[heures annuelles
selon contrat(s)]])=0,"",REVEX!$E$9)</f>
        <v/>
      </c>
      <c r="AI37" s="72" t="str">
        <f>IF(CCTSAS[[#This Row],[Allocation fonctions]]="","",IF(ISNA(VLOOKUP(CCTSAS[[#This Row],[Allocation fonctions]],DROPDOWN[Dropdown82],1,FALSE))=TRUE,"Veuillez utiliser les allocations parmis la liste déroulante.",""))</f>
        <v/>
      </c>
    </row>
    <row r="38" spans="1:35" x14ac:dyDescent="0.25">
      <c r="A38" s="72" t="str">
        <f>IF(CCTSAS[[#This Row],[Carrière]]="","",IF(ISNA(VLOOKUP(CCTSAS[[#This Row],[Carrière]],DROPDOWN[Dropdown9],1,FALSE))=TRUE,"Carrière: Utiliser la liste déroulante",""))</f>
        <v/>
      </c>
      <c r="B38" s="554" t="str">
        <f>IF(CCTSAS[[#This Row],[Matricule]]="","",MAX($B$7:B37)+1)</f>
        <v/>
      </c>
      <c r="C38" s="8"/>
      <c r="D38" s="8"/>
      <c r="E38" s="20"/>
      <c r="F38" s="63"/>
      <c r="G38" s="8"/>
      <c r="H38" s="8"/>
      <c r="I38" s="10"/>
      <c r="J38" s="10"/>
      <c r="K38" s="9"/>
      <c r="L38" s="9"/>
      <c r="M38" s="9"/>
      <c r="N3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 s="660"/>
      <c r="P38" s="660"/>
      <c r="Q38" s="461"/>
      <c r="R38" s="381"/>
      <c r="S38" s="37"/>
      <c r="T38" s="37"/>
      <c r="U38" s="37"/>
      <c r="V38" s="37"/>
      <c r="W38" s="37"/>
      <c r="X38" s="37"/>
      <c r="Y3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 s="37"/>
      <c r="AA38" s="662" t="str">
        <f>IF(COUNTA(CCTSAS[[#This Row],[Nom]:[heures annuelles
selon contrat(s)]])=0,"",CCTSAS[[#This Row],[Total global]]-ABS(CCTSAS[[#This Row],[Dont non opposable]]))</f>
        <v/>
      </c>
      <c r="AB38" s="8"/>
      <c r="AC38" s="63"/>
      <c r="AD38" s="428"/>
      <c r="AE38" s="428"/>
      <c r="AF38" s="428"/>
      <c r="AG38" s="43"/>
      <c r="AH38" s="183" t="str">
        <f>IF(COUNTA(CCTSAS[[#This Row],[Nom]:[heures annuelles
selon contrat(s)]])=0,"",REVEX!$E$9)</f>
        <v/>
      </c>
      <c r="AI38" s="72" t="str">
        <f>IF(CCTSAS[[#This Row],[Allocation fonctions]]="","",IF(ISNA(VLOOKUP(CCTSAS[[#This Row],[Allocation fonctions]],DROPDOWN[Dropdown82],1,FALSE))=TRUE,"Veuillez utiliser les allocations parmis la liste déroulante.",""))</f>
        <v/>
      </c>
    </row>
    <row r="39" spans="1:35" x14ac:dyDescent="0.25">
      <c r="A39" s="72" t="str">
        <f>IF(CCTSAS[[#This Row],[Carrière]]="","",IF(ISNA(VLOOKUP(CCTSAS[[#This Row],[Carrière]],DROPDOWN[Dropdown9],1,FALSE))=TRUE,"Carrière: Utiliser la liste déroulante",""))</f>
        <v/>
      </c>
      <c r="B39" s="554" t="str">
        <f>IF(CCTSAS[[#This Row],[Matricule]]="","",MAX($B$7:B38)+1)</f>
        <v/>
      </c>
      <c r="C39" s="8"/>
      <c r="D39" s="8"/>
      <c r="E39" s="20"/>
      <c r="F39" s="63"/>
      <c r="G39" s="8"/>
      <c r="H39" s="8"/>
      <c r="I39" s="10"/>
      <c r="J39" s="10"/>
      <c r="K39" s="9"/>
      <c r="L39" s="9"/>
      <c r="M39" s="9"/>
      <c r="N3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 s="660"/>
      <c r="P39" s="660"/>
      <c r="Q39" s="461"/>
      <c r="R39" s="381"/>
      <c r="S39" s="37"/>
      <c r="T39" s="37"/>
      <c r="U39" s="37"/>
      <c r="V39" s="37"/>
      <c r="W39" s="37"/>
      <c r="X39" s="37"/>
      <c r="Y3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 s="37"/>
      <c r="AA39" s="662" t="str">
        <f>IF(COUNTA(CCTSAS[[#This Row],[Nom]:[heures annuelles
selon contrat(s)]])=0,"",CCTSAS[[#This Row],[Total global]]-ABS(CCTSAS[[#This Row],[Dont non opposable]]))</f>
        <v/>
      </c>
      <c r="AB39" s="8"/>
      <c r="AC39" s="63"/>
      <c r="AD39" s="428"/>
      <c r="AE39" s="428"/>
      <c r="AF39" s="428"/>
      <c r="AG39" s="43"/>
      <c r="AH39" s="183" t="str">
        <f>IF(COUNTA(CCTSAS[[#This Row],[Nom]:[heures annuelles
selon contrat(s)]])=0,"",REVEX!$E$9)</f>
        <v/>
      </c>
      <c r="AI39" s="72" t="str">
        <f>IF(CCTSAS[[#This Row],[Allocation fonctions]]="","",IF(ISNA(VLOOKUP(CCTSAS[[#This Row],[Allocation fonctions]],DROPDOWN[Dropdown82],1,FALSE))=TRUE,"Veuillez utiliser les allocations parmis la liste déroulante.",""))</f>
        <v/>
      </c>
    </row>
    <row r="40" spans="1:35" x14ac:dyDescent="0.25">
      <c r="A40" s="72" t="str">
        <f>IF(CCTSAS[[#This Row],[Carrière]]="","",IF(ISNA(VLOOKUP(CCTSAS[[#This Row],[Carrière]],DROPDOWN[Dropdown9],1,FALSE))=TRUE,"Carrière: Utiliser la liste déroulante",""))</f>
        <v/>
      </c>
      <c r="B40" s="554" t="str">
        <f>IF(CCTSAS[[#This Row],[Matricule]]="","",MAX($B$7:B39)+1)</f>
        <v/>
      </c>
      <c r="C40" s="8"/>
      <c r="D40" s="8"/>
      <c r="E40" s="20"/>
      <c r="F40" s="63"/>
      <c r="G40" s="8"/>
      <c r="H40" s="8"/>
      <c r="I40" s="10"/>
      <c r="J40" s="10"/>
      <c r="K40" s="9"/>
      <c r="L40" s="9"/>
      <c r="M40" s="9"/>
      <c r="N4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 s="660"/>
      <c r="P40" s="660"/>
      <c r="Q40" s="461"/>
      <c r="R40" s="381"/>
      <c r="S40" s="37"/>
      <c r="T40" s="37"/>
      <c r="U40" s="37"/>
      <c r="V40" s="37"/>
      <c r="W40" s="37"/>
      <c r="X40" s="37"/>
      <c r="Y4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 s="37"/>
      <c r="AA40" s="662" t="str">
        <f>IF(COUNTA(CCTSAS[[#This Row],[Nom]:[heures annuelles
selon contrat(s)]])=0,"",CCTSAS[[#This Row],[Total global]]-ABS(CCTSAS[[#This Row],[Dont non opposable]]))</f>
        <v/>
      </c>
      <c r="AB40" s="8"/>
      <c r="AC40" s="63"/>
      <c r="AD40" s="428"/>
      <c r="AE40" s="428"/>
      <c r="AF40" s="428"/>
      <c r="AG40" s="43"/>
      <c r="AH40" s="183" t="str">
        <f>IF(COUNTA(CCTSAS[[#This Row],[Nom]:[heures annuelles
selon contrat(s)]])=0,"",REVEX!$E$9)</f>
        <v/>
      </c>
      <c r="AI40" s="72" t="str">
        <f>IF(CCTSAS[[#This Row],[Allocation fonctions]]="","",IF(ISNA(VLOOKUP(CCTSAS[[#This Row],[Allocation fonctions]],DROPDOWN[Dropdown82],1,FALSE))=TRUE,"Veuillez utiliser les allocations parmis la liste déroulante.",""))</f>
        <v/>
      </c>
    </row>
    <row r="41" spans="1:35" x14ac:dyDescent="0.25">
      <c r="A41" s="72" t="str">
        <f>IF(CCTSAS[[#This Row],[Carrière]]="","",IF(ISNA(VLOOKUP(CCTSAS[[#This Row],[Carrière]],DROPDOWN[Dropdown9],1,FALSE))=TRUE,"Carrière: Utiliser la liste déroulante",""))</f>
        <v/>
      </c>
      <c r="B41" s="554" t="str">
        <f>IF(CCTSAS[[#This Row],[Matricule]]="","",MAX($B$7:B40)+1)</f>
        <v/>
      </c>
      <c r="C41" s="8"/>
      <c r="D41" s="8"/>
      <c r="E41" s="20"/>
      <c r="F41" s="63"/>
      <c r="G41" s="8"/>
      <c r="H41" s="8"/>
      <c r="I41" s="10"/>
      <c r="J41" s="10"/>
      <c r="K41" s="9"/>
      <c r="L41" s="9"/>
      <c r="M41" s="9"/>
      <c r="N4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 s="660"/>
      <c r="P41" s="660"/>
      <c r="Q41" s="461"/>
      <c r="R41" s="381"/>
      <c r="S41" s="37"/>
      <c r="T41" s="37"/>
      <c r="U41" s="37"/>
      <c r="V41" s="37"/>
      <c r="W41" s="37"/>
      <c r="X41" s="37"/>
      <c r="Y4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 s="37"/>
      <c r="AA41" s="662" t="str">
        <f>IF(COUNTA(CCTSAS[[#This Row],[Nom]:[heures annuelles
selon contrat(s)]])=0,"",CCTSAS[[#This Row],[Total global]]-ABS(CCTSAS[[#This Row],[Dont non opposable]]))</f>
        <v/>
      </c>
      <c r="AB41" s="8"/>
      <c r="AC41" s="63"/>
      <c r="AD41" s="428"/>
      <c r="AE41" s="428"/>
      <c r="AF41" s="428"/>
      <c r="AG41" s="43"/>
      <c r="AH41" s="183" t="str">
        <f>IF(COUNTA(CCTSAS[[#This Row],[Nom]:[heures annuelles
selon contrat(s)]])=0,"",REVEX!$E$9)</f>
        <v/>
      </c>
      <c r="AI41" s="72" t="str">
        <f>IF(CCTSAS[[#This Row],[Allocation fonctions]]="","",IF(ISNA(VLOOKUP(CCTSAS[[#This Row],[Allocation fonctions]],DROPDOWN[Dropdown82],1,FALSE))=TRUE,"Veuillez utiliser les allocations parmis la liste déroulante.",""))</f>
        <v/>
      </c>
    </row>
    <row r="42" spans="1:35" x14ac:dyDescent="0.25">
      <c r="A42" s="72" t="str">
        <f>IF(CCTSAS[[#This Row],[Carrière]]="","",IF(ISNA(VLOOKUP(CCTSAS[[#This Row],[Carrière]],DROPDOWN[Dropdown9],1,FALSE))=TRUE,"Carrière: Utiliser la liste déroulante",""))</f>
        <v/>
      </c>
      <c r="B42" s="554" t="str">
        <f>IF(CCTSAS[[#This Row],[Matricule]]="","",MAX($B$7:B41)+1)</f>
        <v/>
      </c>
      <c r="C42" s="8"/>
      <c r="D42" s="8"/>
      <c r="E42" s="20"/>
      <c r="F42" s="63"/>
      <c r="G42" s="8"/>
      <c r="H42" s="8"/>
      <c r="I42" s="10"/>
      <c r="J42" s="10"/>
      <c r="K42" s="9"/>
      <c r="L42" s="9"/>
      <c r="M42" s="9"/>
      <c r="N4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 s="660"/>
      <c r="P42" s="660"/>
      <c r="Q42" s="461"/>
      <c r="R42" s="381"/>
      <c r="S42" s="37"/>
      <c r="T42" s="37"/>
      <c r="U42" s="37"/>
      <c r="V42" s="37"/>
      <c r="W42" s="37"/>
      <c r="X42" s="37"/>
      <c r="Y4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 s="37"/>
      <c r="AA42" s="662" t="str">
        <f>IF(COUNTA(CCTSAS[[#This Row],[Nom]:[heures annuelles
selon contrat(s)]])=0,"",CCTSAS[[#This Row],[Total global]]-ABS(CCTSAS[[#This Row],[Dont non opposable]]))</f>
        <v/>
      </c>
      <c r="AB42" s="8"/>
      <c r="AC42" s="63"/>
      <c r="AD42" s="428"/>
      <c r="AE42" s="428"/>
      <c r="AF42" s="428"/>
      <c r="AG42" s="43"/>
      <c r="AH42" s="183" t="str">
        <f>IF(COUNTA(CCTSAS[[#This Row],[Nom]:[heures annuelles
selon contrat(s)]])=0,"",REVEX!$E$9)</f>
        <v/>
      </c>
      <c r="AI42" s="72" t="str">
        <f>IF(CCTSAS[[#This Row],[Allocation fonctions]]="","",IF(ISNA(VLOOKUP(CCTSAS[[#This Row],[Allocation fonctions]],DROPDOWN[Dropdown82],1,FALSE))=TRUE,"Veuillez utiliser les allocations parmis la liste déroulante.",""))</f>
        <v/>
      </c>
    </row>
    <row r="43" spans="1:35" x14ac:dyDescent="0.25">
      <c r="A43" s="72" t="str">
        <f>IF(CCTSAS[[#This Row],[Carrière]]="","",IF(ISNA(VLOOKUP(CCTSAS[[#This Row],[Carrière]],DROPDOWN[Dropdown9],1,FALSE))=TRUE,"Carrière: Utiliser la liste déroulante",""))</f>
        <v/>
      </c>
      <c r="B43" s="554" t="str">
        <f>IF(CCTSAS[[#This Row],[Matricule]]="","",MAX($B$7:B42)+1)</f>
        <v/>
      </c>
      <c r="C43" s="8"/>
      <c r="D43" s="8"/>
      <c r="E43" s="20"/>
      <c r="F43" s="63"/>
      <c r="G43" s="8"/>
      <c r="H43" s="8"/>
      <c r="I43" s="10"/>
      <c r="J43" s="10"/>
      <c r="K43" s="9"/>
      <c r="L43" s="9"/>
      <c r="M43" s="9"/>
      <c r="N4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 s="660"/>
      <c r="P43" s="660"/>
      <c r="Q43" s="461"/>
      <c r="R43" s="381"/>
      <c r="S43" s="37"/>
      <c r="T43" s="37"/>
      <c r="U43" s="37"/>
      <c r="V43" s="37"/>
      <c r="W43" s="37"/>
      <c r="X43" s="37"/>
      <c r="Y4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 s="37"/>
      <c r="AA43" s="662" t="str">
        <f>IF(COUNTA(CCTSAS[[#This Row],[Nom]:[heures annuelles
selon contrat(s)]])=0,"",CCTSAS[[#This Row],[Total global]]-ABS(CCTSAS[[#This Row],[Dont non opposable]]))</f>
        <v/>
      </c>
      <c r="AB43" s="8"/>
      <c r="AC43" s="63"/>
      <c r="AD43" s="428"/>
      <c r="AE43" s="428"/>
      <c r="AF43" s="428"/>
      <c r="AG43" s="43"/>
      <c r="AH43" s="183" t="str">
        <f>IF(COUNTA(CCTSAS[[#This Row],[Nom]:[heures annuelles
selon contrat(s)]])=0,"",REVEX!$E$9)</f>
        <v/>
      </c>
      <c r="AI43" s="72" t="str">
        <f>IF(CCTSAS[[#This Row],[Allocation fonctions]]="","",IF(ISNA(VLOOKUP(CCTSAS[[#This Row],[Allocation fonctions]],DROPDOWN[Dropdown82],1,FALSE))=TRUE,"Veuillez utiliser les allocations parmis la liste déroulante.",""))</f>
        <v/>
      </c>
    </row>
    <row r="44" spans="1:35" x14ac:dyDescent="0.25">
      <c r="A44" s="72" t="str">
        <f>IF(CCTSAS[[#This Row],[Carrière]]="","",IF(ISNA(VLOOKUP(CCTSAS[[#This Row],[Carrière]],DROPDOWN[Dropdown9],1,FALSE))=TRUE,"Carrière: Utiliser la liste déroulante",""))</f>
        <v/>
      </c>
      <c r="B44" s="554" t="str">
        <f>IF(CCTSAS[[#This Row],[Matricule]]="","",MAX($B$7:B43)+1)</f>
        <v/>
      </c>
      <c r="C44" s="8"/>
      <c r="D44" s="8"/>
      <c r="E44" s="20"/>
      <c r="F44" s="63"/>
      <c r="G44" s="8"/>
      <c r="H44" s="8"/>
      <c r="I44" s="10"/>
      <c r="J44" s="10"/>
      <c r="K44" s="9"/>
      <c r="L44" s="9"/>
      <c r="M44" s="9"/>
      <c r="N4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 s="660"/>
      <c r="P44" s="660"/>
      <c r="Q44" s="461"/>
      <c r="R44" s="381"/>
      <c r="S44" s="37"/>
      <c r="T44" s="37"/>
      <c r="U44" s="37"/>
      <c r="V44" s="37"/>
      <c r="W44" s="37"/>
      <c r="X44" s="37"/>
      <c r="Y4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 s="37"/>
      <c r="AA44" s="662" t="str">
        <f>IF(COUNTA(CCTSAS[[#This Row],[Nom]:[heures annuelles
selon contrat(s)]])=0,"",CCTSAS[[#This Row],[Total global]]-ABS(CCTSAS[[#This Row],[Dont non opposable]]))</f>
        <v/>
      </c>
      <c r="AB44" s="8"/>
      <c r="AC44" s="63"/>
      <c r="AD44" s="428"/>
      <c r="AE44" s="428"/>
      <c r="AF44" s="428"/>
      <c r="AG44" s="43"/>
      <c r="AH44" s="183" t="str">
        <f>IF(COUNTA(CCTSAS[[#This Row],[Nom]:[heures annuelles
selon contrat(s)]])=0,"",REVEX!$E$9)</f>
        <v/>
      </c>
      <c r="AI44" s="72" t="str">
        <f>IF(CCTSAS[[#This Row],[Allocation fonctions]]="","",IF(ISNA(VLOOKUP(CCTSAS[[#This Row],[Allocation fonctions]],DROPDOWN[Dropdown82],1,FALSE))=TRUE,"Veuillez utiliser les allocations parmis la liste déroulante.",""))</f>
        <v/>
      </c>
    </row>
    <row r="45" spans="1:35" x14ac:dyDescent="0.25">
      <c r="A45" s="72" t="str">
        <f>IF(CCTSAS[[#This Row],[Carrière]]="","",IF(ISNA(VLOOKUP(CCTSAS[[#This Row],[Carrière]],DROPDOWN[Dropdown9],1,FALSE))=TRUE,"Carrière: Utiliser la liste déroulante",""))</f>
        <v/>
      </c>
      <c r="B45" s="554" t="str">
        <f>IF(CCTSAS[[#This Row],[Matricule]]="","",MAX($B$7:B44)+1)</f>
        <v/>
      </c>
      <c r="C45" s="8"/>
      <c r="D45" s="8"/>
      <c r="E45" s="20"/>
      <c r="F45" s="63"/>
      <c r="G45" s="8"/>
      <c r="H45" s="8"/>
      <c r="I45" s="10"/>
      <c r="J45" s="10"/>
      <c r="K45" s="9"/>
      <c r="L45" s="9"/>
      <c r="M45" s="9"/>
      <c r="N4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 s="660"/>
      <c r="P45" s="660"/>
      <c r="Q45" s="461"/>
      <c r="R45" s="381"/>
      <c r="S45" s="37"/>
      <c r="T45" s="37"/>
      <c r="U45" s="37"/>
      <c r="V45" s="37"/>
      <c r="W45" s="37"/>
      <c r="X45" s="37"/>
      <c r="Y4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 s="37"/>
      <c r="AA45" s="662" t="str">
        <f>IF(COUNTA(CCTSAS[[#This Row],[Nom]:[heures annuelles
selon contrat(s)]])=0,"",CCTSAS[[#This Row],[Total global]]-ABS(CCTSAS[[#This Row],[Dont non opposable]]))</f>
        <v/>
      </c>
      <c r="AB45" s="8"/>
      <c r="AC45" s="63"/>
      <c r="AD45" s="428"/>
      <c r="AE45" s="428"/>
      <c r="AF45" s="428"/>
      <c r="AG45" s="43"/>
      <c r="AH45" s="183" t="str">
        <f>IF(COUNTA(CCTSAS[[#This Row],[Nom]:[heures annuelles
selon contrat(s)]])=0,"",REVEX!$E$9)</f>
        <v/>
      </c>
      <c r="AI45" s="72" t="str">
        <f>IF(CCTSAS[[#This Row],[Allocation fonctions]]="","",IF(ISNA(VLOOKUP(CCTSAS[[#This Row],[Allocation fonctions]],DROPDOWN[Dropdown82],1,FALSE))=TRUE,"Veuillez utiliser les allocations parmis la liste déroulante.",""))</f>
        <v/>
      </c>
    </row>
    <row r="46" spans="1:35" x14ac:dyDescent="0.25">
      <c r="A46" s="72" t="str">
        <f>IF(CCTSAS[[#This Row],[Carrière]]="","",IF(ISNA(VLOOKUP(CCTSAS[[#This Row],[Carrière]],DROPDOWN[Dropdown9],1,FALSE))=TRUE,"Carrière: Utiliser la liste déroulante",""))</f>
        <v/>
      </c>
      <c r="B46" s="554" t="str">
        <f>IF(CCTSAS[[#This Row],[Matricule]]="","",MAX($B$7:B45)+1)</f>
        <v/>
      </c>
      <c r="C46" s="8"/>
      <c r="D46" s="8"/>
      <c r="E46" s="20"/>
      <c r="F46" s="63"/>
      <c r="G46" s="8"/>
      <c r="H46" s="8"/>
      <c r="I46" s="10"/>
      <c r="J46" s="10"/>
      <c r="K46" s="9"/>
      <c r="L46" s="9"/>
      <c r="M46" s="9"/>
      <c r="N4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 s="660"/>
      <c r="P46" s="660"/>
      <c r="Q46" s="461"/>
      <c r="R46" s="381"/>
      <c r="S46" s="37"/>
      <c r="T46" s="37"/>
      <c r="U46" s="37"/>
      <c r="V46" s="37"/>
      <c r="W46" s="37"/>
      <c r="X46" s="37"/>
      <c r="Y4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 s="37"/>
      <c r="AA46" s="662" t="str">
        <f>IF(COUNTA(CCTSAS[[#This Row],[Nom]:[heures annuelles
selon contrat(s)]])=0,"",CCTSAS[[#This Row],[Total global]]-ABS(CCTSAS[[#This Row],[Dont non opposable]]))</f>
        <v/>
      </c>
      <c r="AB46" s="8"/>
      <c r="AC46" s="63"/>
      <c r="AD46" s="428"/>
      <c r="AE46" s="428"/>
      <c r="AF46" s="428"/>
      <c r="AG46" s="43"/>
      <c r="AH46" s="183" t="str">
        <f>IF(COUNTA(CCTSAS[[#This Row],[Nom]:[heures annuelles
selon contrat(s)]])=0,"",REVEX!$E$9)</f>
        <v/>
      </c>
      <c r="AI46" s="72" t="str">
        <f>IF(CCTSAS[[#This Row],[Allocation fonctions]]="","",IF(ISNA(VLOOKUP(CCTSAS[[#This Row],[Allocation fonctions]],DROPDOWN[Dropdown82],1,FALSE))=TRUE,"Veuillez utiliser les allocations parmis la liste déroulante.",""))</f>
        <v/>
      </c>
    </row>
    <row r="47" spans="1:35" x14ac:dyDescent="0.25">
      <c r="A47" s="72" t="str">
        <f>IF(CCTSAS[[#This Row],[Carrière]]="","",IF(ISNA(VLOOKUP(CCTSAS[[#This Row],[Carrière]],DROPDOWN[Dropdown9],1,FALSE))=TRUE,"Carrière: Utiliser la liste déroulante",""))</f>
        <v/>
      </c>
      <c r="B47" s="554" t="str">
        <f>IF(CCTSAS[[#This Row],[Matricule]]="","",MAX($B$7:B46)+1)</f>
        <v/>
      </c>
      <c r="C47" s="8"/>
      <c r="D47" s="8"/>
      <c r="E47" s="20"/>
      <c r="F47" s="63"/>
      <c r="G47" s="8"/>
      <c r="H47" s="8"/>
      <c r="I47" s="10"/>
      <c r="J47" s="10"/>
      <c r="K47" s="9"/>
      <c r="L47" s="9"/>
      <c r="M47" s="9"/>
      <c r="N4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 s="660"/>
      <c r="P47" s="660"/>
      <c r="Q47" s="461"/>
      <c r="R47" s="381"/>
      <c r="S47" s="37"/>
      <c r="T47" s="37"/>
      <c r="U47" s="37"/>
      <c r="V47" s="37"/>
      <c r="W47" s="37"/>
      <c r="X47" s="37"/>
      <c r="Y4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 s="37"/>
      <c r="AA47" s="662" t="str">
        <f>IF(COUNTA(CCTSAS[[#This Row],[Nom]:[heures annuelles
selon contrat(s)]])=0,"",CCTSAS[[#This Row],[Total global]]-ABS(CCTSAS[[#This Row],[Dont non opposable]]))</f>
        <v/>
      </c>
      <c r="AB47" s="8"/>
      <c r="AC47" s="63"/>
      <c r="AD47" s="428"/>
      <c r="AE47" s="428"/>
      <c r="AF47" s="428"/>
      <c r="AG47" s="43"/>
      <c r="AH47" s="183" t="str">
        <f>IF(COUNTA(CCTSAS[[#This Row],[Nom]:[heures annuelles
selon contrat(s)]])=0,"",REVEX!$E$9)</f>
        <v/>
      </c>
      <c r="AI47" s="72" t="str">
        <f>IF(CCTSAS[[#This Row],[Allocation fonctions]]="","",IF(ISNA(VLOOKUP(CCTSAS[[#This Row],[Allocation fonctions]],DROPDOWN[Dropdown82],1,FALSE))=TRUE,"Veuillez utiliser les allocations parmis la liste déroulante.",""))</f>
        <v/>
      </c>
    </row>
    <row r="48" spans="1:35" x14ac:dyDescent="0.25">
      <c r="A48" s="72" t="str">
        <f>IF(CCTSAS[[#This Row],[Carrière]]="","",IF(ISNA(VLOOKUP(CCTSAS[[#This Row],[Carrière]],DROPDOWN[Dropdown9],1,FALSE))=TRUE,"Carrière: Utiliser la liste déroulante",""))</f>
        <v/>
      </c>
      <c r="B48" s="554" t="str">
        <f>IF(CCTSAS[[#This Row],[Matricule]]="","",MAX($B$7:B47)+1)</f>
        <v/>
      </c>
      <c r="C48" s="8"/>
      <c r="D48" s="8"/>
      <c r="E48" s="20"/>
      <c r="F48" s="63"/>
      <c r="G48" s="8"/>
      <c r="H48" s="8"/>
      <c r="I48" s="10"/>
      <c r="J48" s="10"/>
      <c r="K48" s="9"/>
      <c r="L48" s="9"/>
      <c r="M48" s="9"/>
      <c r="N4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 s="660"/>
      <c r="P48" s="660"/>
      <c r="Q48" s="461"/>
      <c r="R48" s="381"/>
      <c r="S48" s="37"/>
      <c r="T48" s="37"/>
      <c r="U48" s="37"/>
      <c r="V48" s="37"/>
      <c r="W48" s="37"/>
      <c r="X48" s="37"/>
      <c r="Y4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 s="37"/>
      <c r="AA48" s="662" t="str">
        <f>IF(COUNTA(CCTSAS[[#This Row],[Nom]:[heures annuelles
selon contrat(s)]])=0,"",CCTSAS[[#This Row],[Total global]]-ABS(CCTSAS[[#This Row],[Dont non opposable]]))</f>
        <v/>
      </c>
      <c r="AB48" s="8"/>
      <c r="AC48" s="63"/>
      <c r="AD48" s="428"/>
      <c r="AE48" s="428"/>
      <c r="AF48" s="428"/>
      <c r="AG48" s="43"/>
      <c r="AH48" s="183" t="str">
        <f>IF(COUNTA(CCTSAS[[#This Row],[Nom]:[heures annuelles
selon contrat(s)]])=0,"",REVEX!$E$9)</f>
        <v/>
      </c>
      <c r="AI48" s="72" t="str">
        <f>IF(CCTSAS[[#This Row],[Allocation fonctions]]="","",IF(ISNA(VLOOKUP(CCTSAS[[#This Row],[Allocation fonctions]],DROPDOWN[Dropdown82],1,FALSE))=TRUE,"Veuillez utiliser les allocations parmis la liste déroulante.",""))</f>
        <v/>
      </c>
    </row>
    <row r="49" spans="1:35" x14ac:dyDescent="0.25">
      <c r="A49" s="72" t="str">
        <f>IF(CCTSAS[[#This Row],[Carrière]]="","",IF(ISNA(VLOOKUP(CCTSAS[[#This Row],[Carrière]],DROPDOWN[Dropdown9],1,FALSE))=TRUE,"Carrière: Utiliser la liste déroulante",""))</f>
        <v/>
      </c>
      <c r="B49" s="554" t="str">
        <f>IF(CCTSAS[[#This Row],[Matricule]]="","",MAX($B$7:B48)+1)</f>
        <v/>
      </c>
      <c r="C49" s="8"/>
      <c r="D49" s="8"/>
      <c r="E49" s="20"/>
      <c r="F49" s="63"/>
      <c r="G49" s="8"/>
      <c r="H49" s="8"/>
      <c r="I49" s="10"/>
      <c r="J49" s="10"/>
      <c r="K49" s="9"/>
      <c r="L49" s="9"/>
      <c r="M49" s="9"/>
      <c r="N4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 s="660"/>
      <c r="P49" s="660"/>
      <c r="Q49" s="461"/>
      <c r="R49" s="381"/>
      <c r="S49" s="37"/>
      <c r="T49" s="37"/>
      <c r="U49" s="37"/>
      <c r="V49" s="37"/>
      <c r="W49" s="37"/>
      <c r="X49" s="37"/>
      <c r="Y4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 s="37"/>
      <c r="AA49" s="662" t="str">
        <f>IF(COUNTA(CCTSAS[[#This Row],[Nom]:[heures annuelles
selon contrat(s)]])=0,"",CCTSAS[[#This Row],[Total global]]-ABS(CCTSAS[[#This Row],[Dont non opposable]]))</f>
        <v/>
      </c>
      <c r="AB49" s="8"/>
      <c r="AC49" s="63"/>
      <c r="AD49" s="428"/>
      <c r="AE49" s="428"/>
      <c r="AF49" s="428"/>
      <c r="AG49" s="43"/>
      <c r="AH49" s="183" t="str">
        <f>IF(COUNTA(CCTSAS[[#This Row],[Nom]:[heures annuelles
selon contrat(s)]])=0,"",REVEX!$E$9)</f>
        <v/>
      </c>
      <c r="AI49" s="72" t="str">
        <f>IF(CCTSAS[[#This Row],[Allocation fonctions]]="","",IF(ISNA(VLOOKUP(CCTSAS[[#This Row],[Allocation fonctions]],DROPDOWN[Dropdown82],1,FALSE))=TRUE,"Veuillez utiliser les allocations parmis la liste déroulante.",""))</f>
        <v/>
      </c>
    </row>
    <row r="50" spans="1:35" x14ac:dyDescent="0.25">
      <c r="A50" s="72" t="str">
        <f>IF(CCTSAS[[#This Row],[Carrière]]="","",IF(ISNA(VLOOKUP(CCTSAS[[#This Row],[Carrière]],DROPDOWN[Dropdown9],1,FALSE))=TRUE,"Carrière: Utiliser la liste déroulante",""))</f>
        <v/>
      </c>
      <c r="B50" s="554" t="str">
        <f>IF(CCTSAS[[#This Row],[Matricule]]="","",MAX($B$7:B49)+1)</f>
        <v/>
      </c>
      <c r="C50" s="8"/>
      <c r="D50" s="8"/>
      <c r="E50" s="20"/>
      <c r="F50" s="63"/>
      <c r="G50" s="8"/>
      <c r="H50" s="8"/>
      <c r="I50" s="10"/>
      <c r="J50" s="10"/>
      <c r="K50" s="9"/>
      <c r="L50" s="9"/>
      <c r="M50" s="9"/>
      <c r="N5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 s="660"/>
      <c r="P50" s="660"/>
      <c r="Q50" s="461"/>
      <c r="R50" s="381"/>
      <c r="S50" s="37"/>
      <c r="T50" s="37"/>
      <c r="U50" s="37"/>
      <c r="V50" s="37"/>
      <c r="W50" s="37"/>
      <c r="X50" s="37"/>
      <c r="Y5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 s="37"/>
      <c r="AA50" s="662" t="str">
        <f>IF(COUNTA(CCTSAS[[#This Row],[Nom]:[heures annuelles
selon contrat(s)]])=0,"",CCTSAS[[#This Row],[Total global]]-ABS(CCTSAS[[#This Row],[Dont non opposable]]))</f>
        <v/>
      </c>
      <c r="AB50" s="8"/>
      <c r="AC50" s="63"/>
      <c r="AD50" s="428"/>
      <c r="AE50" s="428"/>
      <c r="AF50" s="428"/>
      <c r="AG50" s="43"/>
      <c r="AH50" s="183" t="str">
        <f>IF(COUNTA(CCTSAS[[#This Row],[Nom]:[heures annuelles
selon contrat(s)]])=0,"",REVEX!$E$9)</f>
        <v/>
      </c>
      <c r="AI50" s="72" t="str">
        <f>IF(CCTSAS[[#This Row],[Allocation fonctions]]="","",IF(ISNA(VLOOKUP(CCTSAS[[#This Row],[Allocation fonctions]],DROPDOWN[Dropdown82],1,FALSE))=TRUE,"Veuillez utiliser les allocations parmis la liste déroulante.",""))</f>
        <v/>
      </c>
    </row>
    <row r="51" spans="1:35" x14ac:dyDescent="0.25">
      <c r="A51" s="72" t="str">
        <f>IF(CCTSAS[[#This Row],[Carrière]]="","",IF(ISNA(VLOOKUP(CCTSAS[[#This Row],[Carrière]],DROPDOWN[Dropdown9],1,FALSE))=TRUE,"Carrière: Utiliser la liste déroulante",""))</f>
        <v/>
      </c>
      <c r="B51" s="554" t="str">
        <f>IF(CCTSAS[[#This Row],[Matricule]]="","",MAX($B$7:B50)+1)</f>
        <v/>
      </c>
      <c r="C51" s="8"/>
      <c r="D51" s="8"/>
      <c r="E51" s="20"/>
      <c r="F51" s="63"/>
      <c r="G51" s="8"/>
      <c r="H51" s="8"/>
      <c r="I51" s="10"/>
      <c r="J51" s="10"/>
      <c r="K51" s="9"/>
      <c r="L51" s="9"/>
      <c r="M51" s="9"/>
      <c r="N5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1" s="660"/>
      <c r="P51" s="660"/>
      <c r="Q51" s="461"/>
      <c r="R51" s="381"/>
      <c r="S51" s="37"/>
      <c r="T51" s="37"/>
      <c r="U51" s="37"/>
      <c r="V51" s="37"/>
      <c r="W51" s="37"/>
      <c r="X51" s="37"/>
      <c r="Y5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1" s="37"/>
      <c r="AA51" s="662" t="str">
        <f>IF(COUNTA(CCTSAS[[#This Row],[Nom]:[heures annuelles
selon contrat(s)]])=0,"",CCTSAS[[#This Row],[Total global]]-ABS(CCTSAS[[#This Row],[Dont non opposable]]))</f>
        <v/>
      </c>
      <c r="AB51" s="8"/>
      <c r="AC51" s="63"/>
      <c r="AD51" s="428"/>
      <c r="AE51" s="428"/>
      <c r="AF51" s="428"/>
      <c r="AG51" s="43"/>
      <c r="AH51" s="183" t="str">
        <f>IF(COUNTA(CCTSAS[[#This Row],[Nom]:[heures annuelles
selon contrat(s)]])=0,"",REVEX!$E$9)</f>
        <v/>
      </c>
      <c r="AI51" s="72" t="str">
        <f>IF(CCTSAS[[#This Row],[Allocation fonctions]]="","",IF(ISNA(VLOOKUP(CCTSAS[[#This Row],[Allocation fonctions]],DROPDOWN[Dropdown82],1,FALSE))=TRUE,"Veuillez utiliser les allocations parmis la liste déroulante.",""))</f>
        <v/>
      </c>
    </row>
    <row r="52" spans="1:35" x14ac:dyDescent="0.25">
      <c r="A52" s="72" t="str">
        <f>IF(CCTSAS[[#This Row],[Carrière]]="","",IF(ISNA(VLOOKUP(CCTSAS[[#This Row],[Carrière]],DROPDOWN[Dropdown9],1,FALSE))=TRUE,"Carrière: Utiliser la liste déroulante",""))</f>
        <v/>
      </c>
      <c r="B52" s="554" t="str">
        <f>IF(CCTSAS[[#This Row],[Matricule]]="","",MAX($B$7:B51)+1)</f>
        <v/>
      </c>
      <c r="C52" s="8"/>
      <c r="D52" s="8"/>
      <c r="E52" s="20"/>
      <c r="F52" s="63"/>
      <c r="G52" s="8"/>
      <c r="H52" s="8"/>
      <c r="I52" s="10"/>
      <c r="J52" s="10"/>
      <c r="K52" s="9"/>
      <c r="L52" s="9"/>
      <c r="M52" s="9"/>
      <c r="N5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2" s="660"/>
      <c r="P52" s="660"/>
      <c r="Q52" s="461"/>
      <c r="R52" s="381"/>
      <c r="S52" s="37"/>
      <c r="T52" s="37"/>
      <c r="U52" s="37"/>
      <c r="V52" s="37"/>
      <c r="W52" s="37"/>
      <c r="X52" s="37"/>
      <c r="Y5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2" s="37"/>
      <c r="AA52" s="662" t="str">
        <f>IF(COUNTA(CCTSAS[[#This Row],[Nom]:[heures annuelles
selon contrat(s)]])=0,"",CCTSAS[[#This Row],[Total global]]-ABS(CCTSAS[[#This Row],[Dont non opposable]]))</f>
        <v/>
      </c>
      <c r="AB52" s="8"/>
      <c r="AC52" s="63"/>
      <c r="AD52" s="428"/>
      <c r="AE52" s="428"/>
      <c r="AF52" s="428"/>
      <c r="AG52" s="43"/>
      <c r="AH52" s="183" t="str">
        <f>IF(COUNTA(CCTSAS[[#This Row],[Nom]:[heures annuelles
selon contrat(s)]])=0,"",REVEX!$E$9)</f>
        <v/>
      </c>
      <c r="AI52" s="72" t="str">
        <f>IF(CCTSAS[[#This Row],[Allocation fonctions]]="","",IF(ISNA(VLOOKUP(CCTSAS[[#This Row],[Allocation fonctions]],DROPDOWN[Dropdown82],1,FALSE))=TRUE,"Veuillez utiliser les allocations parmis la liste déroulante.",""))</f>
        <v/>
      </c>
    </row>
    <row r="53" spans="1:35" x14ac:dyDescent="0.25">
      <c r="A53" s="72" t="str">
        <f>IF(CCTSAS[[#This Row],[Carrière]]="","",IF(ISNA(VLOOKUP(CCTSAS[[#This Row],[Carrière]],DROPDOWN[Dropdown9],1,FALSE))=TRUE,"Carrière: Utiliser la liste déroulante",""))</f>
        <v/>
      </c>
      <c r="B53" s="554" t="str">
        <f>IF(CCTSAS[[#This Row],[Matricule]]="","",MAX($B$7:B52)+1)</f>
        <v/>
      </c>
      <c r="C53" s="8"/>
      <c r="D53" s="8"/>
      <c r="E53" s="20"/>
      <c r="F53" s="63"/>
      <c r="G53" s="8"/>
      <c r="H53" s="8"/>
      <c r="I53" s="10"/>
      <c r="J53" s="10"/>
      <c r="K53" s="9"/>
      <c r="L53" s="9"/>
      <c r="M53" s="9"/>
      <c r="N5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3" s="660"/>
      <c r="P53" s="660"/>
      <c r="Q53" s="461"/>
      <c r="R53" s="381"/>
      <c r="S53" s="37"/>
      <c r="T53" s="37"/>
      <c r="U53" s="37"/>
      <c r="V53" s="37"/>
      <c r="W53" s="37"/>
      <c r="X53" s="37"/>
      <c r="Y5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3" s="37"/>
      <c r="AA53" s="662" t="str">
        <f>IF(COUNTA(CCTSAS[[#This Row],[Nom]:[heures annuelles
selon contrat(s)]])=0,"",CCTSAS[[#This Row],[Total global]]-ABS(CCTSAS[[#This Row],[Dont non opposable]]))</f>
        <v/>
      </c>
      <c r="AB53" s="8"/>
      <c r="AC53" s="63"/>
      <c r="AD53" s="428"/>
      <c r="AE53" s="428"/>
      <c r="AF53" s="428"/>
      <c r="AG53" s="43"/>
      <c r="AH53" s="183" t="str">
        <f>IF(COUNTA(CCTSAS[[#This Row],[Nom]:[heures annuelles
selon contrat(s)]])=0,"",REVEX!$E$9)</f>
        <v/>
      </c>
      <c r="AI53" s="72" t="str">
        <f>IF(CCTSAS[[#This Row],[Allocation fonctions]]="","",IF(ISNA(VLOOKUP(CCTSAS[[#This Row],[Allocation fonctions]],DROPDOWN[Dropdown82],1,FALSE))=TRUE,"Veuillez utiliser les allocations parmis la liste déroulante.",""))</f>
        <v/>
      </c>
    </row>
    <row r="54" spans="1:35" x14ac:dyDescent="0.25">
      <c r="A54" s="72" t="str">
        <f>IF(CCTSAS[[#This Row],[Carrière]]="","",IF(ISNA(VLOOKUP(CCTSAS[[#This Row],[Carrière]],DROPDOWN[Dropdown9],1,FALSE))=TRUE,"Carrière: Utiliser la liste déroulante",""))</f>
        <v/>
      </c>
      <c r="B54" s="554" t="str">
        <f>IF(CCTSAS[[#This Row],[Matricule]]="","",MAX($B$7:B53)+1)</f>
        <v/>
      </c>
      <c r="C54" s="8"/>
      <c r="D54" s="8"/>
      <c r="E54" s="20"/>
      <c r="F54" s="63"/>
      <c r="G54" s="8"/>
      <c r="H54" s="8"/>
      <c r="I54" s="10"/>
      <c r="J54" s="10"/>
      <c r="K54" s="9"/>
      <c r="L54" s="9"/>
      <c r="M54" s="9"/>
      <c r="N5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4" s="660"/>
      <c r="P54" s="660"/>
      <c r="Q54" s="461"/>
      <c r="R54" s="381"/>
      <c r="S54" s="37"/>
      <c r="T54" s="37"/>
      <c r="U54" s="37"/>
      <c r="V54" s="37"/>
      <c r="W54" s="37"/>
      <c r="X54" s="37"/>
      <c r="Y5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4" s="37"/>
      <c r="AA54" s="662" t="str">
        <f>IF(COUNTA(CCTSAS[[#This Row],[Nom]:[heures annuelles
selon contrat(s)]])=0,"",CCTSAS[[#This Row],[Total global]]-ABS(CCTSAS[[#This Row],[Dont non opposable]]))</f>
        <v/>
      </c>
      <c r="AB54" s="8"/>
      <c r="AC54" s="63"/>
      <c r="AD54" s="428"/>
      <c r="AE54" s="428"/>
      <c r="AF54" s="428"/>
      <c r="AG54" s="43"/>
      <c r="AH54" s="183" t="str">
        <f>IF(COUNTA(CCTSAS[[#This Row],[Nom]:[heures annuelles
selon contrat(s)]])=0,"",REVEX!$E$9)</f>
        <v/>
      </c>
      <c r="AI54" s="72" t="str">
        <f>IF(CCTSAS[[#This Row],[Allocation fonctions]]="","",IF(ISNA(VLOOKUP(CCTSAS[[#This Row],[Allocation fonctions]],DROPDOWN[Dropdown82],1,FALSE))=TRUE,"Veuillez utiliser les allocations parmis la liste déroulante.",""))</f>
        <v/>
      </c>
    </row>
    <row r="55" spans="1:35" x14ac:dyDescent="0.25">
      <c r="A55" s="72" t="str">
        <f>IF(CCTSAS[[#This Row],[Carrière]]="","",IF(ISNA(VLOOKUP(CCTSAS[[#This Row],[Carrière]],DROPDOWN[Dropdown9],1,FALSE))=TRUE,"Carrière: Utiliser la liste déroulante",""))</f>
        <v/>
      </c>
      <c r="B55" s="554" t="str">
        <f>IF(CCTSAS[[#This Row],[Matricule]]="","",MAX($B$7:B54)+1)</f>
        <v/>
      </c>
      <c r="C55" s="8"/>
      <c r="D55" s="8"/>
      <c r="E55" s="20"/>
      <c r="F55" s="63"/>
      <c r="G55" s="8"/>
      <c r="H55" s="8"/>
      <c r="I55" s="10"/>
      <c r="J55" s="10"/>
      <c r="K55" s="9"/>
      <c r="L55" s="9"/>
      <c r="M55" s="9"/>
      <c r="N5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5" s="660"/>
      <c r="P55" s="660"/>
      <c r="Q55" s="461"/>
      <c r="R55" s="381"/>
      <c r="S55" s="37"/>
      <c r="T55" s="37"/>
      <c r="U55" s="37"/>
      <c r="V55" s="37"/>
      <c r="W55" s="37"/>
      <c r="X55" s="37"/>
      <c r="Y5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5" s="37"/>
      <c r="AA55" s="662" t="str">
        <f>IF(COUNTA(CCTSAS[[#This Row],[Nom]:[heures annuelles
selon contrat(s)]])=0,"",CCTSAS[[#This Row],[Total global]]-ABS(CCTSAS[[#This Row],[Dont non opposable]]))</f>
        <v/>
      </c>
      <c r="AB55" s="8"/>
      <c r="AC55" s="63"/>
      <c r="AD55" s="428"/>
      <c r="AE55" s="428"/>
      <c r="AF55" s="428"/>
      <c r="AG55" s="43"/>
      <c r="AH55" s="183" t="str">
        <f>IF(COUNTA(CCTSAS[[#This Row],[Nom]:[heures annuelles
selon contrat(s)]])=0,"",REVEX!$E$9)</f>
        <v/>
      </c>
      <c r="AI55" s="72" t="str">
        <f>IF(CCTSAS[[#This Row],[Allocation fonctions]]="","",IF(ISNA(VLOOKUP(CCTSAS[[#This Row],[Allocation fonctions]],DROPDOWN[Dropdown82],1,FALSE))=TRUE,"Veuillez utiliser les allocations parmis la liste déroulante.",""))</f>
        <v/>
      </c>
    </row>
    <row r="56" spans="1:35" x14ac:dyDescent="0.25">
      <c r="A56" s="72" t="str">
        <f>IF(CCTSAS[[#This Row],[Carrière]]="","",IF(ISNA(VLOOKUP(CCTSAS[[#This Row],[Carrière]],DROPDOWN[Dropdown9],1,FALSE))=TRUE,"Carrière: Utiliser la liste déroulante",""))</f>
        <v/>
      </c>
      <c r="B56" s="554" t="str">
        <f>IF(CCTSAS[[#This Row],[Matricule]]="","",MAX($B$7:B55)+1)</f>
        <v/>
      </c>
      <c r="C56" s="8"/>
      <c r="D56" s="8"/>
      <c r="E56" s="20"/>
      <c r="F56" s="63"/>
      <c r="G56" s="8"/>
      <c r="H56" s="8"/>
      <c r="I56" s="10"/>
      <c r="J56" s="10"/>
      <c r="K56" s="9"/>
      <c r="L56" s="9"/>
      <c r="M56" s="9"/>
      <c r="N5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6" s="660"/>
      <c r="P56" s="660"/>
      <c r="Q56" s="461"/>
      <c r="R56" s="381"/>
      <c r="S56" s="37"/>
      <c r="T56" s="37"/>
      <c r="U56" s="37"/>
      <c r="V56" s="37"/>
      <c r="W56" s="37"/>
      <c r="X56" s="37"/>
      <c r="Y5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6" s="37"/>
      <c r="AA56" s="662" t="str">
        <f>IF(COUNTA(CCTSAS[[#This Row],[Nom]:[heures annuelles
selon contrat(s)]])=0,"",CCTSAS[[#This Row],[Total global]]-ABS(CCTSAS[[#This Row],[Dont non opposable]]))</f>
        <v/>
      </c>
      <c r="AB56" s="8"/>
      <c r="AC56" s="63"/>
      <c r="AD56" s="428"/>
      <c r="AE56" s="428"/>
      <c r="AF56" s="428"/>
      <c r="AG56" s="43"/>
      <c r="AH56" s="183" t="str">
        <f>IF(COUNTA(CCTSAS[[#This Row],[Nom]:[heures annuelles
selon contrat(s)]])=0,"",REVEX!$E$9)</f>
        <v/>
      </c>
      <c r="AI56" s="72" t="str">
        <f>IF(CCTSAS[[#This Row],[Allocation fonctions]]="","",IF(ISNA(VLOOKUP(CCTSAS[[#This Row],[Allocation fonctions]],DROPDOWN[Dropdown82],1,FALSE))=TRUE,"Veuillez utiliser les allocations parmis la liste déroulante.",""))</f>
        <v/>
      </c>
    </row>
    <row r="57" spans="1:35" x14ac:dyDescent="0.25">
      <c r="A57" s="72" t="str">
        <f>IF(CCTSAS[[#This Row],[Carrière]]="","",IF(ISNA(VLOOKUP(CCTSAS[[#This Row],[Carrière]],DROPDOWN[Dropdown9],1,FALSE))=TRUE,"Carrière: Utiliser la liste déroulante",""))</f>
        <v/>
      </c>
      <c r="B57" s="554" t="str">
        <f>IF(CCTSAS[[#This Row],[Matricule]]="","",MAX($B$7:B56)+1)</f>
        <v/>
      </c>
      <c r="C57" s="8"/>
      <c r="D57" s="8"/>
      <c r="E57" s="20"/>
      <c r="F57" s="63"/>
      <c r="G57" s="8"/>
      <c r="H57" s="8"/>
      <c r="I57" s="10"/>
      <c r="J57" s="10"/>
      <c r="K57" s="9"/>
      <c r="L57" s="9"/>
      <c r="M57" s="9"/>
      <c r="N5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7" s="660"/>
      <c r="P57" s="660"/>
      <c r="Q57" s="461"/>
      <c r="R57" s="381"/>
      <c r="S57" s="37"/>
      <c r="T57" s="37"/>
      <c r="U57" s="37"/>
      <c r="V57" s="37"/>
      <c r="W57" s="37"/>
      <c r="X57" s="37"/>
      <c r="Y5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7" s="37"/>
      <c r="AA57" s="662" t="str">
        <f>IF(COUNTA(CCTSAS[[#This Row],[Nom]:[heures annuelles
selon contrat(s)]])=0,"",CCTSAS[[#This Row],[Total global]]-ABS(CCTSAS[[#This Row],[Dont non opposable]]))</f>
        <v/>
      </c>
      <c r="AB57" s="8"/>
      <c r="AC57" s="63"/>
      <c r="AD57" s="428"/>
      <c r="AE57" s="428"/>
      <c r="AF57" s="428"/>
      <c r="AG57" s="43"/>
      <c r="AH57" s="183" t="str">
        <f>IF(COUNTA(CCTSAS[[#This Row],[Nom]:[heures annuelles
selon contrat(s)]])=0,"",REVEX!$E$9)</f>
        <v/>
      </c>
      <c r="AI57" s="72" t="str">
        <f>IF(CCTSAS[[#This Row],[Allocation fonctions]]="","",IF(ISNA(VLOOKUP(CCTSAS[[#This Row],[Allocation fonctions]],DROPDOWN[Dropdown82],1,FALSE))=TRUE,"Veuillez utiliser les allocations parmis la liste déroulante.",""))</f>
        <v/>
      </c>
    </row>
    <row r="58" spans="1:35" x14ac:dyDescent="0.25">
      <c r="A58" s="72" t="str">
        <f>IF(CCTSAS[[#This Row],[Carrière]]="","",IF(ISNA(VLOOKUP(CCTSAS[[#This Row],[Carrière]],DROPDOWN[Dropdown9],1,FALSE))=TRUE,"Carrière: Utiliser la liste déroulante",""))</f>
        <v/>
      </c>
      <c r="B58" s="554" t="str">
        <f>IF(CCTSAS[[#This Row],[Matricule]]="","",MAX($B$7:B57)+1)</f>
        <v/>
      </c>
      <c r="C58" s="8"/>
      <c r="D58" s="8"/>
      <c r="E58" s="20"/>
      <c r="F58" s="63"/>
      <c r="G58" s="8"/>
      <c r="H58" s="8"/>
      <c r="I58" s="10"/>
      <c r="J58" s="10"/>
      <c r="K58" s="9"/>
      <c r="L58" s="9"/>
      <c r="M58" s="9"/>
      <c r="N5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8" s="660"/>
      <c r="P58" s="660"/>
      <c r="Q58" s="461"/>
      <c r="R58" s="381"/>
      <c r="S58" s="37"/>
      <c r="T58" s="37"/>
      <c r="U58" s="37"/>
      <c r="V58" s="37"/>
      <c r="W58" s="37"/>
      <c r="X58" s="37"/>
      <c r="Y5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8" s="37"/>
      <c r="AA58" s="662" t="str">
        <f>IF(COUNTA(CCTSAS[[#This Row],[Nom]:[heures annuelles
selon contrat(s)]])=0,"",CCTSAS[[#This Row],[Total global]]-ABS(CCTSAS[[#This Row],[Dont non opposable]]))</f>
        <v/>
      </c>
      <c r="AB58" s="8"/>
      <c r="AC58" s="63"/>
      <c r="AD58" s="428"/>
      <c r="AE58" s="428"/>
      <c r="AF58" s="428"/>
      <c r="AG58" s="43"/>
      <c r="AH58" s="183" t="str">
        <f>IF(COUNTA(CCTSAS[[#This Row],[Nom]:[heures annuelles
selon contrat(s)]])=0,"",REVEX!$E$9)</f>
        <v/>
      </c>
      <c r="AI58" s="72" t="str">
        <f>IF(CCTSAS[[#This Row],[Allocation fonctions]]="","",IF(ISNA(VLOOKUP(CCTSAS[[#This Row],[Allocation fonctions]],DROPDOWN[Dropdown82],1,FALSE))=TRUE,"Veuillez utiliser les allocations parmis la liste déroulante.",""))</f>
        <v/>
      </c>
    </row>
    <row r="59" spans="1:35" x14ac:dyDescent="0.25">
      <c r="A59" s="72" t="str">
        <f>IF(CCTSAS[[#This Row],[Carrière]]="","",IF(ISNA(VLOOKUP(CCTSAS[[#This Row],[Carrière]],DROPDOWN[Dropdown9],1,FALSE))=TRUE,"Carrière: Utiliser la liste déroulante",""))</f>
        <v/>
      </c>
      <c r="B59" s="554" t="str">
        <f>IF(CCTSAS[[#This Row],[Matricule]]="","",MAX($B$7:B58)+1)</f>
        <v/>
      </c>
      <c r="C59" s="8"/>
      <c r="D59" s="8"/>
      <c r="E59" s="20"/>
      <c r="F59" s="63"/>
      <c r="G59" s="8"/>
      <c r="H59" s="8"/>
      <c r="I59" s="10"/>
      <c r="J59" s="10"/>
      <c r="K59" s="9"/>
      <c r="L59" s="9"/>
      <c r="M59" s="9"/>
      <c r="N5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9" s="660"/>
      <c r="P59" s="660"/>
      <c r="Q59" s="461"/>
      <c r="R59" s="381"/>
      <c r="S59" s="37"/>
      <c r="T59" s="37"/>
      <c r="U59" s="37"/>
      <c r="V59" s="37"/>
      <c r="W59" s="37"/>
      <c r="X59" s="37"/>
      <c r="Y5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9" s="37"/>
      <c r="AA59" s="662" t="str">
        <f>IF(COUNTA(CCTSAS[[#This Row],[Nom]:[heures annuelles
selon contrat(s)]])=0,"",CCTSAS[[#This Row],[Total global]]-ABS(CCTSAS[[#This Row],[Dont non opposable]]))</f>
        <v/>
      </c>
      <c r="AB59" s="8"/>
      <c r="AC59" s="63"/>
      <c r="AD59" s="428"/>
      <c r="AE59" s="428"/>
      <c r="AF59" s="428"/>
      <c r="AG59" s="43"/>
      <c r="AH59" s="183" t="str">
        <f>IF(COUNTA(CCTSAS[[#This Row],[Nom]:[heures annuelles
selon contrat(s)]])=0,"",REVEX!$E$9)</f>
        <v/>
      </c>
      <c r="AI59" s="72" t="str">
        <f>IF(CCTSAS[[#This Row],[Allocation fonctions]]="","",IF(ISNA(VLOOKUP(CCTSAS[[#This Row],[Allocation fonctions]],DROPDOWN[Dropdown82],1,FALSE))=TRUE,"Veuillez utiliser les allocations parmis la liste déroulante.",""))</f>
        <v/>
      </c>
    </row>
    <row r="60" spans="1:35" x14ac:dyDescent="0.25">
      <c r="A60" s="72" t="str">
        <f>IF(CCTSAS[[#This Row],[Carrière]]="","",IF(ISNA(VLOOKUP(CCTSAS[[#This Row],[Carrière]],DROPDOWN[Dropdown9],1,FALSE))=TRUE,"Carrière: Utiliser la liste déroulante",""))</f>
        <v/>
      </c>
      <c r="B60" s="554" t="str">
        <f>IF(CCTSAS[[#This Row],[Matricule]]="","",MAX($B$7:B59)+1)</f>
        <v/>
      </c>
      <c r="C60" s="8"/>
      <c r="D60" s="8"/>
      <c r="E60" s="20"/>
      <c r="F60" s="63"/>
      <c r="G60" s="8"/>
      <c r="H60" s="8"/>
      <c r="I60" s="10"/>
      <c r="J60" s="10"/>
      <c r="K60" s="9"/>
      <c r="L60" s="9"/>
      <c r="M60" s="9"/>
      <c r="N6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0" s="660"/>
      <c r="P60" s="660"/>
      <c r="Q60" s="461"/>
      <c r="R60" s="381"/>
      <c r="S60" s="37"/>
      <c r="T60" s="37"/>
      <c r="U60" s="37"/>
      <c r="V60" s="37"/>
      <c r="W60" s="37"/>
      <c r="X60" s="37"/>
      <c r="Y6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0" s="37"/>
      <c r="AA60" s="662" t="str">
        <f>IF(COUNTA(CCTSAS[[#This Row],[Nom]:[heures annuelles
selon contrat(s)]])=0,"",CCTSAS[[#This Row],[Total global]]-ABS(CCTSAS[[#This Row],[Dont non opposable]]))</f>
        <v/>
      </c>
      <c r="AB60" s="8"/>
      <c r="AC60" s="63"/>
      <c r="AD60" s="428"/>
      <c r="AE60" s="428"/>
      <c r="AF60" s="428"/>
      <c r="AG60" s="43"/>
      <c r="AH60" s="183" t="str">
        <f>IF(COUNTA(CCTSAS[[#This Row],[Nom]:[heures annuelles
selon contrat(s)]])=0,"",REVEX!$E$9)</f>
        <v/>
      </c>
      <c r="AI60" s="72" t="str">
        <f>IF(CCTSAS[[#This Row],[Allocation fonctions]]="","",IF(ISNA(VLOOKUP(CCTSAS[[#This Row],[Allocation fonctions]],DROPDOWN[Dropdown82],1,FALSE))=TRUE,"Veuillez utiliser les allocations parmis la liste déroulante.",""))</f>
        <v/>
      </c>
    </row>
    <row r="61" spans="1:35" x14ac:dyDescent="0.25">
      <c r="A61" s="72" t="str">
        <f>IF(CCTSAS[[#This Row],[Carrière]]="","",IF(ISNA(VLOOKUP(CCTSAS[[#This Row],[Carrière]],DROPDOWN[Dropdown9],1,FALSE))=TRUE,"Carrière: Utiliser la liste déroulante",""))</f>
        <v/>
      </c>
      <c r="B61" s="554" t="str">
        <f>IF(CCTSAS[[#This Row],[Matricule]]="","",MAX($B$7:B60)+1)</f>
        <v/>
      </c>
      <c r="C61" s="8"/>
      <c r="D61" s="8"/>
      <c r="E61" s="20"/>
      <c r="F61" s="63"/>
      <c r="G61" s="8"/>
      <c r="H61" s="8"/>
      <c r="I61" s="10"/>
      <c r="J61" s="10"/>
      <c r="K61" s="9"/>
      <c r="L61" s="9"/>
      <c r="M61" s="9"/>
      <c r="N6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1" s="660"/>
      <c r="P61" s="660"/>
      <c r="Q61" s="461"/>
      <c r="R61" s="381"/>
      <c r="S61" s="37"/>
      <c r="T61" s="37"/>
      <c r="U61" s="37"/>
      <c r="V61" s="37"/>
      <c r="W61" s="37"/>
      <c r="X61" s="37"/>
      <c r="Y6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1" s="37"/>
      <c r="AA61" s="662" t="str">
        <f>IF(COUNTA(CCTSAS[[#This Row],[Nom]:[heures annuelles
selon contrat(s)]])=0,"",CCTSAS[[#This Row],[Total global]]-ABS(CCTSAS[[#This Row],[Dont non opposable]]))</f>
        <v/>
      </c>
      <c r="AB61" s="8"/>
      <c r="AC61" s="63"/>
      <c r="AD61" s="428"/>
      <c r="AE61" s="428"/>
      <c r="AF61" s="428"/>
      <c r="AG61" s="43"/>
      <c r="AH61" s="183" t="str">
        <f>IF(COUNTA(CCTSAS[[#This Row],[Nom]:[heures annuelles
selon contrat(s)]])=0,"",REVEX!$E$9)</f>
        <v/>
      </c>
      <c r="AI61" s="72" t="str">
        <f>IF(CCTSAS[[#This Row],[Allocation fonctions]]="","",IF(ISNA(VLOOKUP(CCTSAS[[#This Row],[Allocation fonctions]],DROPDOWN[Dropdown82],1,FALSE))=TRUE,"Veuillez utiliser les allocations parmis la liste déroulante.",""))</f>
        <v/>
      </c>
    </row>
    <row r="62" spans="1:35" x14ac:dyDescent="0.25">
      <c r="A62" s="72" t="str">
        <f>IF(CCTSAS[[#This Row],[Carrière]]="","",IF(ISNA(VLOOKUP(CCTSAS[[#This Row],[Carrière]],DROPDOWN[Dropdown9],1,FALSE))=TRUE,"Carrière: Utiliser la liste déroulante",""))</f>
        <v/>
      </c>
      <c r="B62" s="554" t="str">
        <f>IF(CCTSAS[[#This Row],[Matricule]]="","",MAX($B$7:B61)+1)</f>
        <v/>
      </c>
      <c r="C62" s="8"/>
      <c r="D62" s="8"/>
      <c r="E62" s="20"/>
      <c r="F62" s="63"/>
      <c r="G62" s="8"/>
      <c r="H62" s="8"/>
      <c r="I62" s="10"/>
      <c r="J62" s="10"/>
      <c r="K62" s="9"/>
      <c r="L62" s="9"/>
      <c r="M62" s="9"/>
      <c r="N6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2" s="660"/>
      <c r="P62" s="660"/>
      <c r="Q62" s="461"/>
      <c r="R62" s="381"/>
      <c r="S62" s="37"/>
      <c r="T62" s="37"/>
      <c r="U62" s="37"/>
      <c r="V62" s="37"/>
      <c r="W62" s="37"/>
      <c r="X62" s="37"/>
      <c r="Y6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2" s="37"/>
      <c r="AA62" s="662" t="str">
        <f>IF(COUNTA(CCTSAS[[#This Row],[Nom]:[heures annuelles
selon contrat(s)]])=0,"",CCTSAS[[#This Row],[Total global]]-ABS(CCTSAS[[#This Row],[Dont non opposable]]))</f>
        <v/>
      </c>
      <c r="AB62" s="8"/>
      <c r="AC62" s="63"/>
      <c r="AD62" s="428"/>
      <c r="AE62" s="428"/>
      <c r="AF62" s="428"/>
      <c r="AG62" s="43"/>
      <c r="AH62" s="183" t="str">
        <f>IF(COUNTA(CCTSAS[[#This Row],[Nom]:[heures annuelles
selon contrat(s)]])=0,"",REVEX!$E$9)</f>
        <v/>
      </c>
      <c r="AI62" s="72" t="str">
        <f>IF(CCTSAS[[#This Row],[Allocation fonctions]]="","",IF(ISNA(VLOOKUP(CCTSAS[[#This Row],[Allocation fonctions]],DROPDOWN[Dropdown82],1,FALSE))=TRUE,"Veuillez utiliser les allocations parmis la liste déroulante.",""))</f>
        <v/>
      </c>
    </row>
    <row r="63" spans="1:35" x14ac:dyDescent="0.25">
      <c r="A63" s="72" t="str">
        <f>IF(CCTSAS[[#This Row],[Carrière]]="","",IF(ISNA(VLOOKUP(CCTSAS[[#This Row],[Carrière]],DROPDOWN[Dropdown9],1,FALSE))=TRUE,"Carrière: Utiliser la liste déroulante",""))</f>
        <v/>
      </c>
      <c r="B63" s="554" t="str">
        <f>IF(CCTSAS[[#This Row],[Matricule]]="","",MAX($B$7:B62)+1)</f>
        <v/>
      </c>
      <c r="C63" s="8"/>
      <c r="D63" s="8"/>
      <c r="E63" s="20"/>
      <c r="F63" s="63"/>
      <c r="G63" s="8"/>
      <c r="H63" s="8"/>
      <c r="I63" s="10"/>
      <c r="J63" s="10"/>
      <c r="K63" s="9"/>
      <c r="L63" s="9"/>
      <c r="M63" s="9"/>
      <c r="N6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3" s="660"/>
      <c r="P63" s="660"/>
      <c r="Q63" s="461"/>
      <c r="R63" s="381"/>
      <c r="S63" s="37"/>
      <c r="T63" s="37"/>
      <c r="U63" s="37"/>
      <c r="V63" s="37"/>
      <c r="W63" s="37"/>
      <c r="X63" s="37"/>
      <c r="Y6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3" s="37"/>
      <c r="AA63" s="662" t="str">
        <f>IF(COUNTA(CCTSAS[[#This Row],[Nom]:[heures annuelles
selon contrat(s)]])=0,"",CCTSAS[[#This Row],[Total global]]-ABS(CCTSAS[[#This Row],[Dont non opposable]]))</f>
        <v/>
      </c>
      <c r="AB63" s="8"/>
      <c r="AC63" s="63"/>
      <c r="AD63" s="428"/>
      <c r="AE63" s="428"/>
      <c r="AF63" s="428"/>
      <c r="AG63" s="43"/>
      <c r="AH63" s="183" t="str">
        <f>IF(COUNTA(CCTSAS[[#This Row],[Nom]:[heures annuelles
selon contrat(s)]])=0,"",REVEX!$E$9)</f>
        <v/>
      </c>
      <c r="AI63" s="72" t="str">
        <f>IF(CCTSAS[[#This Row],[Allocation fonctions]]="","",IF(ISNA(VLOOKUP(CCTSAS[[#This Row],[Allocation fonctions]],DROPDOWN[Dropdown82],1,FALSE))=TRUE,"Veuillez utiliser les allocations parmis la liste déroulante.",""))</f>
        <v/>
      </c>
    </row>
    <row r="64" spans="1:35" x14ac:dyDescent="0.25">
      <c r="A64" s="72" t="str">
        <f>IF(CCTSAS[[#This Row],[Carrière]]="","",IF(ISNA(VLOOKUP(CCTSAS[[#This Row],[Carrière]],DROPDOWN[Dropdown9],1,FALSE))=TRUE,"Carrière: Utiliser la liste déroulante",""))</f>
        <v/>
      </c>
      <c r="B64" s="554" t="str">
        <f>IF(CCTSAS[[#This Row],[Matricule]]="","",MAX($B$7:B63)+1)</f>
        <v/>
      </c>
      <c r="C64" s="8"/>
      <c r="D64" s="8"/>
      <c r="E64" s="20"/>
      <c r="F64" s="63"/>
      <c r="G64" s="8"/>
      <c r="H64" s="8"/>
      <c r="I64" s="10"/>
      <c r="J64" s="10"/>
      <c r="K64" s="9"/>
      <c r="L64" s="9"/>
      <c r="M64" s="9"/>
      <c r="N6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4" s="660"/>
      <c r="P64" s="660"/>
      <c r="Q64" s="461"/>
      <c r="R64" s="381"/>
      <c r="S64" s="37"/>
      <c r="T64" s="37"/>
      <c r="U64" s="37"/>
      <c r="V64" s="37"/>
      <c r="W64" s="37"/>
      <c r="X64" s="37"/>
      <c r="Y6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4" s="37"/>
      <c r="AA64" s="662" t="str">
        <f>IF(COUNTA(CCTSAS[[#This Row],[Nom]:[heures annuelles
selon contrat(s)]])=0,"",CCTSAS[[#This Row],[Total global]]-ABS(CCTSAS[[#This Row],[Dont non opposable]]))</f>
        <v/>
      </c>
      <c r="AB64" s="8"/>
      <c r="AC64" s="63"/>
      <c r="AD64" s="428"/>
      <c r="AE64" s="428"/>
      <c r="AF64" s="428"/>
      <c r="AG64" s="43"/>
      <c r="AH64" s="183" t="str">
        <f>IF(COUNTA(CCTSAS[[#This Row],[Nom]:[heures annuelles
selon contrat(s)]])=0,"",REVEX!$E$9)</f>
        <v/>
      </c>
      <c r="AI64" s="72" t="str">
        <f>IF(CCTSAS[[#This Row],[Allocation fonctions]]="","",IF(ISNA(VLOOKUP(CCTSAS[[#This Row],[Allocation fonctions]],DROPDOWN[Dropdown82],1,FALSE))=TRUE,"Veuillez utiliser les allocations parmis la liste déroulante.",""))</f>
        <v/>
      </c>
    </row>
    <row r="65" spans="1:35" x14ac:dyDescent="0.25">
      <c r="A65" s="72" t="str">
        <f>IF(CCTSAS[[#This Row],[Carrière]]="","",IF(ISNA(VLOOKUP(CCTSAS[[#This Row],[Carrière]],DROPDOWN[Dropdown9],1,FALSE))=TRUE,"Carrière: Utiliser la liste déroulante",""))</f>
        <v/>
      </c>
      <c r="B65" s="554" t="str">
        <f>IF(CCTSAS[[#This Row],[Matricule]]="","",MAX($B$7:B64)+1)</f>
        <v/>
      </c>
      <c r="C65" s="8"/>
      <c r="D65" s="8"/>
      <c r="E65" s="20"/>
      <c r="F65" s="63"/>
      <c r="G65" s="8"/>
      <c r="H65" s="8"/>
      <c r="I65" s="10"/>
      <c r="J65" s="10"/>
      <c r="K65" s="9"/>
      <c r="L65" s="9"/>
      <c r="M65" s="9"/>
      <c r="N6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5" s="660"/>
      <c r="P65" s="660"/>
      <c r="Q65" s="461"/>
      <c r="R65" s="381"/>
      <c r="S65" s="37"/>
      <c r="T65" s="37"/>
      <c r="U65" s="37"/>
      <c r="V65" s="37"/>
      <c r="W65" s="37"/>
      <c r="X65" s="37"/>
      <c r="Y6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5" s="37"/>
      <c r="AA65" s="662" t="str">
        <f>IF(COUNTA(CCTSAS[[#This Row],[Nom]:[heures annuelles
selon contrat(s)]])=0,"",CCTSAS[[#This Row],[Total global]]-ABS(CCTSAS[[#This Row],[Dont non opposable]]))</f>
        <v/>
      </c>
      <c r="AB65" s="8"/>
      <c r="AC65" s="63"/>
      <c r="AD65" s="428"/>
      <c r="AE65" s="428"/>
      <c r="AF65" s="428"/>
      <c r="AG65" s="43"/>
      <c r="AH65" s="183" t="str">
        <f>IF(COUNTA(CCTSAS[[#This Row],[Nom]:[heures annuelles
selon contrat(s)]])=0,"",REVEX!$E$9)</f>
        <v/>
      </c>
      <c r="AI65" s="72" t="str">
        <f>IF(CCTSAS[[#This Row],[Allocation fonctions]]="","",IF(ISNA(VLOOKUP(CCTSAS[[#This Row],[Allocation fonctions]],DROPDOWN[Dropdown82],1,FALSE))=TRUE,"Veuillez utiliser les allocations parmis la liste déroulante.",""))</f>
        <v/>
      </c>
    </row>
    <row r="66" spans="1:35" x14ac:dyDescent="0.25">
      <c r="A66" s="72" t="str">
        <f>IF(CCTSAS[[#This Row],[Carrière]]="","",IF(ISNA(VLOOKUP(CCTSAS[[#This Row],[Carrière]],DROPDOWN[Dropdown9],1,FALSE))=TRUE,"Carrière: Utiliser la liste déroulante",""))</f>
        <v/>
      </c>
      <c r="B66" s="554" t="str">
        <f>IF(CCTSAS[[#This Row],[Matricule]]="","",MAX($B$7:B65)+1)</f>
        <v/>
      </c>
      <c r="C66" s="8"/>
      <c r="D66" s="8"/>
      <c r="E66" s="20"/>
      <c r="F66" s="63"/>
      <c r="G66" s="8"/>
      <c r="H66" s="8"/>
      <c r="I66" s="10"/>
      <c r="J66" s="10"/>
      <c r="K66" s="9"/>
      <c r="L66" s="9"/>
      <c r="M66" s="9"/>
      <c r="N6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6" s="660"/>
      <c r="P66" s="660"/>
      <c r="Q66" s="461"/>
      <c r="R66" s="381"/>
      <c r="S66" s="37"/>
      <c r="T66" s="37"/>
      <c r="U66" s="37"/>
      <c r="V66" s="37"/>
      <c r="W66" s="37"/>
      <c r="X66" s="37"/>
      <c r="Y6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6" s="37"/>
      <c r="AA66" s="662" t="str">
        <f>IF(COUNTA(CCTSAS[[#This Row],[Nom]:[heures annuelles
selon contrat(s)]])=0,"",CCTSAS[[#This Row],[Total global]]-ABS(CCTSAS[[#This Row],[Dont non opposable]]))</f>
        <v/>
      </c>
      <c r="AB66" s="8"/>
      <c r="AC66" s="63"/>
      <c r="AD66" s="428"/>
      <c r="AE66" s="428"/>
      <c r="AF66" s="428"/>
      <c r="AG66" s="43"/>
      <c r="AH66" s="183" t="str">
        <f>IF(COUNTA(CCTSAS[[#This Row],[Nom]:[heures annuelles
selon contrat(s)]])=0,"",REVEX!$E$9)</f>
        <v/>
      </c>
      <c r="AI66" s="72" t="str">
        <f>IF(CCTSAS[[#This Row],[Allocation fonctions]]="","",IF(ISNA(VLOOKUP(CCTSAS[[#This Row],[Allocation fonctions]],DROPDOWN[Dropdown82],1,FALSE))=TRUE,"Veuillez utiliser les allocations parmis la liste déroulante.",""))</f>
        <v/>
      </c>
    </row>
    <row r="67" spans="1:35" x14ac:dyDescent="0.25">
      <c r="A67" s="72" t="str">
        <f>IF(CCTSAS[[#This Row],[Carrière]]="","",IF(ISNA(VLOOKUP(CCTSAS[[#This Row],[Carrière]],DROPDOWN[Dropdown9],1,FALSE))=TRUE,"Carrière: Utiliser la liste déroulante",""))</f>
        <v/>
      </c>
      <c r="B67" s="554" t="str">
        <f>IF(CCTSAS[[#This Row],[Matricule]]="","",MAX($B$7:B66)+1)</f>
        <v/>
      </c>
      <c r="C67" s="8"/>
      <c r="D67" s="8"/>
      <c r="E67" s="20"/>
      <c r="F67" s="63"/>
      <c r="G67" s="8"/>
      <c r="H67" s="8"/>
      <c r="I67" s="10"/>
      <c r="J67" s="10"/>
      <c r="K67" s="9"/>
      <c r="L67" s="9"/>
      <c r="M67" s="9"/>
      <c r="N6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7" s="660"/>
      <c r="P67" s="660"/>
      <c r="Q67" s="461"/>
      <c r="R67" s="381"/>
      <c r="S67" s="37"/>
      <c r="T67" s="37"/>
      <c r="U67" s="37"/>
      <c r="V67" s="37"/>
      <c r="W67" s="37"/>
      <c r="X67" s="37"/>
      <c r="Y6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7" s="37"/>
      <c r="AA67" s="662" t="str">
        <f>IF(COUNTA(CCTSAS[[#This Row],[Nom]:[heures annuelles
selon contrat(s)]])=0,"",CCTSAS[[#This Row],[Total global]]-ABS(CCTSAS[[#This Row],[Dont non opposable]]))</f>
        <v/>
      </c>
      <c r="AB67" s="8"/>
      <c r="AC67" s="63"/>
      <c r="AD67" s="428"/>
      <c r="AE67" s="428"/>
      <c r="AF67" s="428"/>
      <c r="AG67" s="43"/>
      <c r="AH67" s="183" t="str">
        <f>IF(COUNTA(CCTSAS[[#This Row],[Nom]:[heures annuelles
selon contrat(s)]])=0,"",REVEX!$E$9)</f>
        <v/>
      </c>
      <c r="AI67" s="72" t="str">
        <f>IF(CCTSAS[[#This Row],[Allocation fonctions]]="","",IF(ISNA(VLOOKUP(CCTSAS[[#This Row],[Allocation fonctions]],DROPDOWN[Dropdown82],1,FALSE))=TRUE,"Veuillez utiliser les allocations parmis la liste déroulante.",""))</f>
        <v/>
      </c>
    </row>
    <row r="68" spans="1:35" x14ac:dyDescent="0.25">
      <c r="A68" s="72" t="str">
        <f>IF(CCTSAS[[#This Row],[Carrière]]="","",IF(ISNA(VLOOKUP(CCTSAS[[#This Row],[Carrière]],DROPDOWN[Dropdown9],1,FALSE))=TRUE,"Carrière: Utiliser la liste déroulante",""))</f>
        <v/>
      </c>
      <c r="B68" s="554" t="str">
        <f>IF(CCTSAS[[#This Row],[Matricule]]="","",MAX($B$7:B67)+1)</f>
        <v/>
      </c>
      <c r="C68" s="8"/>
      <c r="D68" s="8"/>
      <c r="E68" s="20"/>
      <c r="F68" s="63"/>
      <c r="G68" s="8"/>
      <c r="H68" s="8"/>
      <c r="I68" s="10"/>
      <c r="J68" s="10"/>
      <c r="K68" s="9"/>
      <c r="L68" s="9"/>
      <c r="M68" s="9"/>
      <c r="N6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8" s="660"/>
      <c r="P68" s="660"/>
      <c r="Q68" s="461"/>
      <c r="R68" s="381"/>
      <c r="S68" s="37"/>
      <c r="T68" s="37"/>
      <c r="U68" s="37"/>
      <c r="V68" s="37"/>
      <c r="W68" s="37"/>
      <c r="X68" s="37"/>
      <c r="Y6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8" s="37"/>
      <c r="AA68" s="662" t="str">
        <f>IF(COUNTA(CCTSAS[[#This Row],[Nom]:[heures annuelles
selon contrat(s)]])=0,"",CCTSAS[[#This Row],[Total global]]-ABS(CCTSAS[[#This Row],[Dont non opposable]]))</f>
        <v/>
      </c>
      <c r="AB68" s="8"/>
      <c r="AC68" s="63"/>
      <c r="AD68" s="428"/>
      <c r="AE68" s="428"/>
      <c r="AF68" s="428"/>
      <c r="AG68" s="43"/>
      <c r="AH68" s="183" t="str">
        <f>IF(COUNTA(CCTSAS[[#This Row],[Nom]:[heures annuelles
selon contrat(s)]])=0,"",REVEX!$E$9)</f>
        <v/>
      </c>
      <c r="AI68" s="72" t="str">
        <f>IF(CCTSAS[[#This Row],[Allocation fonctions]]="","",IF(ISNA(VLOOKUP(CCTSAS[[#This Row],[Allocation fonctions]],DROPDOWN[Dropdown82],1,FALSE))=TRUE,"Veuillez utiliser les allocations parmis la liste déroulante.",""))</f>
        <v/>
      </c>
    </row>
    <row r="69" spans="1:35" x14ac:dyDescent="0.25">
      <c r="A69" s="72" t="str">
        <f>IF(CCTSAS[[#This Row],[Carrière]]="","",IF(ISNA(VLOOKUP(CCTSAS[[#This Row],[Carrière]],DROPDOWN[Dropdown9],1,FALSE))=TRUE,"Carrière: Utiliser la liste déroulante",""))</f>
        <v/>
      </c>
      <c r="B69" s="554" t="str">
        <f>IF(CCTSAS[[#This Row],[Matricule]]="","",MAX($B$7:B68)+1)</f>
        <v/>
      </c>
      <c r="C69" s="8"/>
      <c r="D69" s="8"/>
      <c r="E69" s="20"/>
      <c r="F69" s="63"/>
      <c r="G69" s="8"/>
      <c r="H69" s="8"/>
      <c r="I69" s="10"/>
      <c r="J69" s="10"/>
      <c r="K69" s="9"/>
      <c r="L69" s="9"/>
      <c r="M69" s="9"/>
      <c r="N6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69" s="660"/>
      <c r="P69" s="660"/>
      <c r="Q69" s="461"/>
      <c r="R69" s="381"/>
      <c r="S69" s="37"/>
      <c r="T69" s="37"/>
      <c r="U69" s="37"/>
      <c r="V69" s="37"/>
      <c r="W69" s="37"/>
      <c r="X69" s="37"/>
      <c r="Y6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69" s="37"/>
      <c r="AA69" s="662" t="str">
        <f>IF(COUNTA(CCTSAS[[#This Row],[Nom]:[heures annuelles
selon contrat(s)]])=0,"",CCTSAS[[#This Row],[Total global]]-ABS(CCTSAS[[#This Row],[Dont non opposable]]))</f>
        <v/>
      </c>
      <c r="AB69" s="8"/>
      <c r="AC69" s="63"/>
      <c r="AD69" s="428"/>
      <c r="AE69" s="428"/>
      <c r="AF69" s="428"/>
      <c r="AG69" s="43"/>
      <c r="AH69" s="183" t="str">
        <f>IF(COUNTA(CCTSAS[[#This Row],[Nom]:[heures annuelles
selon contrat(s)]])=0,"",REVEX!$E$9)</f>
        <v/>
      </c>
      <c r="AI69" s="72" t="str">
        <f>IF(CCTSAS[[#This Row],[Allocation fonctions]]="","",IF(ISNA(VLOOKUP(CCTSAS[[#This Row],[Allocation fonctions]],DROPDOWN[Dropdown82],1,FALSE))=TRUE,"Veuillez utiliser les allocations parmis la liste déroulante.",""))</f>
        <v/>
      </c>
    </row>
    <row r="70" spans="1:35" x14ac:dyDescent="0.25">
      <c r="A70" s="72" t="str">
        <f>IF(CCTSAS[[#This Row],[Carrière]]="","",IF(ISNA(VLOOKUP(CCTSAS[[#This Row],[Carrière]],DROPDOWN[Dropdown9],1,FALSE))=TRUE,"Carrière: Utiliser la liste déroulante",""))</f>
        <v/>
      </c>
      <c r="B70" s="554" t="str">
        <f>IF(CCTSAS[[#This Row],[Matricule]]="","",MAX($B$7:B69)+1)</f>
        <v/>
      </c>
      <c r="C70" s="8"/>
      <c r="D70" s="8"/>
      <c r="E70" s="20"/>
      <c r="F70" s="63"/>
      <c r="G70" s="8"/>
      <c r="H70" s="8"/>
      <c r="I70" s="10"/>
      <c r="J70" s="10"/>
      <c r="K70" s="9"/>
      <c r="L70" s="9"/>
      <c r="M70" s="9"/>
      <c r="N7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0" s="660"/>
      <c r="P70" s="660"/>
      <c r="Q70" s="461"/>
      <c r="R70" s="381"/>
      <c r="S70" s="37"/>
      <c r="T70" s="37"/>
      <c r="U70" s="37"/>
      <c r="V70" s="37"/>
      <c r="W70" s="37"/>
      <c r="X70" s="37"/>
      <c r="Y7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0" s="37"/>
      <c r="AA70" s="662" t="str">
        <f>IF(COUNTA(CCTSAS[[#This Row],[Nom]:[heures annuelles
selon contrat(s)]])=0,"",CCTSAS[[#This Row],[Total global]]-ABS(CCTSAS[[#This Row],[Dont non opposable]]))</f>
        <v/>
      </c>
      <c r="AB70" s="8"/>
      <c r="AC70" s="63"/>
      <c r="AD70" s="428"/>
      <c r="AE70" s="428"/>
      <c r="AF70" s="428"/>
      <c r="AG70" s="43"/>
      <c r="AH70" s="183" t="str">
        <f>IF(COUNTA(CCTSAS[[#This Row],[Nom]:[heures annuelles
selon contrat(s)]])=0,"",REVEX!$E$9)</f>
        <v/>
      </c>
      <c r="AI70" s="72" t="str">
        <f>IF(CCTSAS[[#This Row],[Allocation fonctions]]="","",IF(ISNA(VLOOKUP(CCTSAS[[#This Row],[Allocation fonctions]],DROPDOWN[Dropdown82],1,FALSE))=TRUE,"Veuillez utiliser les allocations parmis la liste déroulante.",""))</f>
        <v/>
      </c>
    </row>
    <row r="71" spans="1:35" x14ac:dyDescent="0.25">
      <c r="A71" s="72" t="str">
        <f>IF(CCTSAS[[#This Row],[Carrière]]="","",IF(ISNA(VLOOKUP(CCTSAS[[#This Row],[Carrière]],DROPDOWN[Dropdown9],1,FALSE))=TRUE,"Carrière: Utiliser la liste déroulante",""))</f>
        <v/>
      </c>
      <c r="B71" s="554" t="str">
        <f>IF(CCTSAS[[#This Row],[Matricule]]="","",MAX($B$7:B70)+1)</f>
        <v/>
      </c>
      <c r="C71" s="8"/>
      <c r="D71" s="8"/>
      <c r="E71" s="20"/>
      <c r="F71" s="63"/>
      <c r="G71" s="8"/>
      <c r="H71" s="8"/>
      <c r="I71" s="10"/>
      <c r="J71" s="10"/>
      <c r="K71" s="9"/>
      <c r="L71" s="9"/>
      <c r="M71" s="9"/>
      <c r="N7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1" s="660"/>
      <c r="P71" s="660"/>
      <c r="Q71" s="461"/>
      <c r="R71" s="381"/>
      <c r="S71" s="37"/>
      <c r="T71" s="37"/>
      <c r="U71" s="37"/>
      <c r="V71" s="37"/>
      <c r="W71" s="37"/>
      <c r="X71" s="37"/>
      <c r="Y7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1" s="37"/>
      <c r="AA71" s="662" t="str">
        <f>IF(COUNTA(CCTSAS[[#This Row],[Nom]:[heures annuelles
selon contrat(s)]])=0,"",CCTSAS[[#This Row],[Total global]]-ABS(CCTSAS[[#This Row],[Dont non opposable]]))</f>
        <v/>
      </c>
      <c r="AB71" s="8"/>
      <c r="AC71" s="63"/>
      <c r="AD71" s="428"/>
      <c r="AE71" s="428"/>
      <c r="AF71" s="428"/>
      <c r="AG71" s="43"/>
      <c r="AH71" s="183" t="str">
        <f>IF(COUNTA(CCTSAS[[#This Row],[Nom]:[heures annuelles
selon contrat(s)]])=0,"",REVEX!$E$9)</f>
        <v/>
      </c>
      <c r="AI71" s="72" t="str">
        <f>IF(CCTSAS[[#This Row],[Allocation fonctions]]="","",IF(ISNA(VLOOKUP(CCTSAS[[#This Row],[Allocation fonctions]],DROPDOWN[Dropdown82],1,FALSE))=TRUE,"Veuillez utiliser les allocations parmis la liste déroulante.",""))</f>
        <v/>
      </c>
    </row>
    <row r="72" spans="1:35" x14ac:dyDescent="0.25">
      <c r="A72" s="72" t="str">
        <f>IF(CCTSAS[[#This Row],[Carrière]]="","",IF(ISNA(VLOOKUP(CCTSAS[[#This Row],[Carrière]],DROPDOWN[Dropdown9],1,FALSE))=TRUE,"Carrière: Utiliser la liste déroulante",""))</f>
        <v/>
      </c>
      <c r="B72" s="554" t="str">
        <f>IF(CCTSAS[[#This Row],[Matricule]]="","",MAX($B$7:B71)+1)</f>
        <v/>
      </c>
      <c r="C72" s="8"/>
      <c r="D72" s="8"/>
      <c r="E72" s="20"/>
      <c r="F72" s="63"/>
      <c r="G72" s="8"/>
      <c r="H72" s="8"/>
      <c r="I72" s="10"/>
      <c r="J72" s="10"/>
      <c r="K72" s="9"/>
      <c r="L72" s="9"/>
      <c r="M72" s="9"/>
      <c r="N7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2" s="660"/>
      <c r="P72" s="660"/>
      <c r="Q72" s="461"/>
      <c r="R72" s="381"/>
      <c r="S72" s="37"/>
      <c r="T72" s="37"/>
      <c r="U72" s="37"/>
      <c r="V72" s="37"/>
      <c r="W72" s="37"/>
      <c r="X72" s="37"/>
      <c r="Y7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2" s="37"/>
      <c r="AA72" s="662" t="str">
        <f>IF(COUNTA(CCTSAS[[#This Row],[Nom]:[heures annuelles
selon contrat(s)]])=0,"",CCTSAS[[#This Row],[Total global]]-ABS(CCTSAS[[#This Row],[Dont non opposable]]))</f>
        <v/>
      </c>
      <c r="AB72" s="8"/>
      <c r="AC72" s="63"/>
      <c r="AD72" s="428"/>
      <c r="AE72" s="428"/>
      <c r="AF72" s="428"/>
      <c r="AG72" s="43"/>
      <c r="AH72" s="183" t="str">
        <f>IF(COUNTA(CCTSAS[[#This Row],[Nom]:[heures annuelles
selon contrat(s)]])=0,"",REVEX!$E$9)</f>
        <v/>
      </c>
      <c r="AI72" s="72" t="str">
        <f>IF(CCTSAS[[#This Row],[Allocation fonctions]]="","",IF(ISNA(VLOOKUP(CCTSAS[[#This Row],[Allocation fonctions]],DROPDOWN[Dropdown82],1,FALSE))=TRUE,"Veuillez utiliser les allocations parmis la liste déroulante.",""))</f>
        <v/>
      </c>
    </row>
    <row r="73" spans="1:35" x14ac:dyDescent="0.25">
      <c r="A73" s="72" t="str">
        <f>IF(CCTSAS[[#This Row],[Carrière]]="","",IF(ISNA(VLOOKUP(CCTSAS[[#This Row],[Carrière]],DROPDOWN[Dropdown9],1,FALSE))=TRUE,"Carrière: Utiliser la liste déroulante",""))</f>
        <v/>
      </c>
      <c r="B73" s="554" t="str">
        <f>IF(CCTSAS[[#This Row],[Matricule]]="","",MAX($B$7:B72)+1)</f>
        <v/>
      </c>
      <c r="C73" s="8"/>
      <c r="D73" s="8"/>
      <c r="E73" s="20"/>
      <c r="F73" s="63"/>
      <c r="G73" s="8"/>
      <c r="H73" s="8"/>
      <c r="I73" s="10"/>
      <c r="J73" s="10"/>
      <c r="K73" s="9"/>
      <c r="L73" s="9"/>
      <c r="M73" s="9"/>
      <c r="N7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3" s="660"/>
      <c r="P73" s="660"/>
      <c r="Q73" s="461"/>
      <c r="R73" s="381"/>
      <c r="S73" s="37"/>
      <c r="T73" s="37"/>
      <c r="U73" s="37"/>
      <c r="V73" s="37"/>
      <c r="W73" s="37"/>
      <c r="X73" s="37"/>
      <c r="Y7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3" s="37"/>
      <c r="AA73" s="662" t="str">
        <f>IF(COUNTA(CCTSAS[[#This Row],[Nom]:[heures annuelles
selon contrat(s)]])=0,"",CCTSAS[[#This Row],[Total global]]-ABS(CCTSAS[[#This Row],[Dont non opposable]]))</f>
        <v/>
      </c>
      <c r="AB73" s="8"/>
      <c r="AC73" s="63"/>
      <c r="AD73" s="428"/>
      <c r="AE73" s="428"/>
      <c r="AF73" s="428"/>
      <c r="AG73" s="43"/>
      <c r="AH73" s="183" t="str">
        <f>IF(COUNTA(CCTSAS[[#This Row],[Nom]:[heures annuelles
selon contrat(s)]])=0,"",REVEX!$E$9)</f>
        <v/>
      </c>
      <c r="AI73" s="72" t="str">
        <f>IF(CCTSAS[[#This Row],[Allocation fonctions]]="","",IF(ISNA(VLOOKUP(CCTSAS[[#This Row],[Allocation fonctions]],DROPDOWN[Dropdown82],1,FALSE))=TRUE,"Veuillez utiliser les allocations parmis la liste déroulante.",""))</f>
        <v/>
      </c>
    </row>
    <row r="74" spans="1:35" x14ac:dyDescent="0.25">
      <c r="A74" s="72" t="str">
        <f>IF(CCTSAS[[#This Row],[Carrière]]="","",IF(ISNA(VLOOKUP(CCTSAS[[#This Row],[Carrière]],DROPDOWN[Dropdown9],1,FALSE))=TRUE,"Carrière: Utiliser la liste déroulante",""))</f>
        <v/>
      </c>
      <c r="B74" s="554" t="str">
        <f>IF(CCTSAS[[#This Row],[Matricule]]="","",MAX($B$7:B73)+1)</f>
        <v/>
      </c>
      <c r="C74" s="8"/>
      <c r="D74" s="8"/>
      <c r="E74" s="20"/>
      <c r="F74" s="63"/>
      <c r="G74" s="8"/>
      <c r="H74" s="8"/>
      <c r="I74" s="10"/>
      <c r="J74" s="10"/>
      <c r="K74" s="9"/>
      <c r="L74" s="9"/>
      <c r="M74" s="9"/>
      <c r="N7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4" s="660"/>
      <c r="P74" s="660"/>
      <c r="Q74" s="461"/>
      <c r="R74" s="381"/>
      <c r="S74" s="37"/>
      <c r="T74" s="37"/>
      <c r="U74" s="37"/>
      <c r="V74" s="37"/>
      <c r="W74" s="37"/>
      <c r="X74" s="37"/>
      <c r="Y7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4" s="37"/>
      <c r="AA74" s="662" t="str">
        <f>IF(COUNTA(CCTSAS[[#This Row],[Nom]:[heures annuelles
selon contrat(s)]])=0,"",CCTSAS[[#This Row],[Total global]]-ABS(CCTSAS[[#This Row],[Dont non opposable]]))</f>
        <v/>
      </c>
      <c r="AB74" s="8"/>
      <c r="AC74" s="63"/>
      <c r="AD74" s="428"/>
      <c r="AE74" s="428"/>
      <c r="AF74" s="428"/>
      <c r="AG74" s="43"/>
      <c r="AH74" s="183" t="str">
        <f>IF(COUNTA(CCTSAS[[#This Row],[Nom]:[heures annuelles
selon contrat(s)]])=0,"",REVEX!$E$9)</f>
        <v/>
      </c>
      <c r="AI74" s="72" t="str">
        <f>IF(CCTSAS[[#This Row],[Allocation fonctions]]="","",IF(ISNA(VLOOKUP(CCTSAS[[#This Row],[Allocation fonctions]],DROPDOWN[Dropdown82],1,FALSE))=TRUE,"Veuillez utiliser les allocations parmis la liste déroulante.",""))</f>
        <v/>
      </c>
    </row>
    <row r="75" spans="1:35" x14ac:dyDescent="0.25">
      <c r="A75" s="72" t="str">
        <f>IF(CCTSAS[[#This Row],[Carrière]]="","",IF(ISNA(VLOOKUP(CCTSAS[[#This Row],[Carrière]],DROPDOWN[Dropdown9],1,FALSE))=TRUE,"Carrière: Utiliser la liste déroulante",""))</f>
        <v/>
      </c>
      <c r="B75" s="554" t="str">
        <f>IF(CCTSAS[[#This Row],[Matricule]]="","",MAX($B$7:B74)+1)</f>
        <v/>
      </c>
      <c r="C75" s="8"/>
      <c r="D75" s="8"/>
      <c r="E75" s="20"/>
      <c r="F75" s="63"/>
      <c r="G75" s="8"/>
      <c r="H75" s="8"/>
      <c r="I75" s="10"/>
      <c r="J75" s="10"/>
      <c r="K75" s="9"/>
      <c r="L75" s="9"/>
      <c r="M75" s="9"/>
      <c r="N7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5" s="660"/>
      <c r="P75" s="660"/>
      <c r="Q75" s="461"/>
      <c r="R75" s="381"/>
      <c r="S75" s="37"/>
      <c r="T75" s="37"/>
      <c r="U75" s="37"/>
      <c r="V75" s="37"/>
      <c r="W75" s="37"/>
      <c r="X75" s="37"/>
      <c r="Y7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5" s="37"/>
      <c r="AA75" s="662" t="str">
        <f>IF(COUNTA(CCTSAS[[#This Row],[Nom]:[heures annuelles
selon contrat(s)]])=0,"",CCTSAS[[#This Row],[Total global]]-ABS(CCTSAS[[#This Row],[Dont non opposable]]))</f>
        <v/>
      </c>
      <c r="AB75" s="8"/>
      <c r="AC75" s="63"/>
      <c r="AD75" s="428"/>
      <c r="AE75" s="428"/>
      <c r="AF75" s="428"/>
      <c r="AG75" s="43"/>
      <c r="AH75" s="183" t="str">
        <f>IF(COUNTA(CCTSAS[[#This Row],[Nom]:[heures annuelles
selon contrat(s)]])=0,"",REVEX!$E$9)</f>
        <v/>
      </c>
      <c r="AI75" s="72" t="str">
        <f>IF(CCTSAS[[#This Row],[Allocation fonctions]]="","",IF(ISNA(VLOOKUP(CCTSAS[[#This Row],[Allocation fonctions]],DROPDOWN[Dropdown82],1,FALSE))=TRUE,"Veuillez utiliser les allocations parmis la liste déroulante.",""))</f>
        <v/>
      </c>
    </row>
    <row r="76" spans="1:35" x14ac:dyDescent="0.25">
      <c r="A76" s="72" t="str">
        <f>IF(CCTSAS[[#This Row],[Carrière]]="","",IF(ISNA(VLOOKUP(CCTSAS[[#This Row],[Carrière]],DROPDOWN[Dropdown9],1,FALSE))=TRUE,"Carrière: Utiliser la liste déroulante",""))</f>
        <v/>
      </c>
      <c r="B76" s="554" t="str">
        <f>IF(CCTSAS[[#This Row],[Matricule]]="","",MAX($B$7:B75)+1)</f>
        <v/>
      </c>
      <c r="C76" s="8"/>
      <c r="D76" s="8"/>
      <c r="E76" s="20"/>
      <c r="F76" s="63"/>
      <c r="G76" s="8"/>
      <c r="H76" s="8"/>
      <c r="I76" s="10"/>
      <c r="J76" s="10"/>
      <c r="K76" s="9"/>
      <c r="L76" s="9"/>
      <c r="M76" s="9"/>
      <c r="N7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6" s="660"/>
      <c r="P76" s="660"/>
      <c r="Q76" s="461"/>
      <c r="R76" s="381"/>
      <c r="S76" s="37"/>
      <c r="T76" s="37"/>
      <c r="U76" s="37"/>
      <c r="V76" s="37"/>
      <c r="W76" s="37"/>
      <c r="X76" s="37"/>
      <c r="Y7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6" s="37"/>
      <c r="AA76" s="662" t="str">
        <f>IF(COUNTA(CCTSAS[[#This Row],[Nom]:[heures annuelles
selon contrat(s)]])=0,"",CCTSAS[[#This Row],[Total global]]-ABS(CCTSAS[[#This Row],[Dont non opposable]]))</f>
        <v/>
      </c>
      <c r="AB76" s="8"/>
      <c r="AC76" s="63"/>
      <c r="AD76" s="428"/>
      <c r="AE76" s="428"/>
      <c r="AF76" s="428"/>
      <c r="AG76" s="43"/>
      <c r="AH76" s="183" t="str">
        <f>IF(COUNTA(CCTSAS[[#This Row],[Nom]:[heures annuelles
selon contrat(s)]])=0,"",REVEX!$E$9)</f>
        <v/>
      </c>
      <c r="AI76" s="72" t="str">
        <f>IF(CCTSAS[[#This Row],[Allocation fonctions]]="","",IF(ISNA(VLOOKUP(CCTSAS[[#This Row],[Allocation fonctions]],DROPDOWN[Dropdown82],1,FALSE))=TRUE,"Veuillez utiliser les allocations parmis la liste déroulante.",""))</f>
        <v/>
      </c>
    </row>
    <row r="77" spans="1:35" x14ac:dyDescent="0.25">
      <c r="A77" s="72" t="str">
        <f>IF(CCTSAS[[#This Row],[Carrière]]="","",IF(ISNA(VLOOKUP(CCTSAS[[#This Row],[Carrière]],DROPDOWN[Dropdown9],1,FALSE))=TRUE,"Carrière: Utiliser la liste déroulante",""))</f>
        <v/>
      </c>
      <c r="B77" s="554" t="str">
        <f>IF(CCTSAS[[#This Row],[Matricule]]="","",MAX($B$7:B76)+1)</f>
        <v/>
      </c>
      <c r="C77" s="8"/>
      <c r="D77" s="8"/>
      <c r="E77" s="20"/>
      <c r="F77" s="63"/>
      <c r="G77" s="8"/>
      <c r="H77" s="8"/>
      <c r="I77" s="10"/>
      <c r="J77" s="10"/>
      <c r="K77" s="9"/>
      <c r="L77" s="9"/>
      <c r="M77" s="9"/>
      <c r="N7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7" s="660"/>
      <c r="P77" s="660"/>
      <c r="Q77" s="461"/>
      <c r="R77" s="381"/>
      <c r="S77" s="37"/>
      <c r="T77" s="37"/>
      <c r="U77" s="37"/>
      <c r="V77" s="37"/>
      <c r="W77" s="37"/>
      <c r="X77" s="37"/>
      <c r="Y7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7" s="37"/>
      <c r="AA77" s="662" t="str">
        <f>IF(COUNTA(CCTSAS[[#This Row],[Nom]:[heures annuelles
selon contrat(s)]])=0,"",CCTSAS[[#This Row],[Total global]]-ABS(CCTSAS[[#This Row],[Dont non opposable]]))</f>
        <v/>
      </c>
      <c r="AB77" s="8"/>
      <c r="AC77" s="63"/>
      <c r="AD77" s="428"/>
      <c r="AE77" s="428"/>
      <c r="AF77" s="428"/>
      <c r="AG77" s="43"/>
      <c r="AH77" s="183" t="str">
        <f>IF(COUNTA(CCTSAS[[#This Row],[Nom]:[heures annuelles
selon contrat(s)]])=0,"",REVEX!$E$9)</f>
        <v/>
      </c>
      <c r="AI77" s="72" t="str">
        <f>IF(CCTSAS[[#This Row],[Allocation fonctions]]="","",IF(ISNA(VLOOKUP(CCTSAS[[#This Row],[Allocation fonctions]],DROPDOWN[Dropdown82],1,FALSE))=TRUE,"Veuillez utiliser les allocations parmis la liste déroulante.",""))</f>
        <v/>
      </c>
    </row>
    <row r="78" spans="1:35" x14ac:dyDescent="0.25">
      <c r="A78" s="72" t="str">
        <f>IF(CCTSAS[[#This Row],[Carrière]]="","",IF(ISNA(VLOOKUP(CCTSAS[[#This Row],[Carrière]],DROPDOWN[Dropdown9],1,FALSE))=TRUE,"Carrière: Utiliser la liste déroulante",""))</f>
        <v/>
      </c>
      <c r="B78" s="554" t="str">
        <f>IF(CCTSAS[[#This Row],[Matricule]]="","",MAX($B$7:B77)+1)</f>
        <v/>
      </c>
      <c r="C78" s="8"/>
      <c r="D78" s="8"/>
      <c r="E78" s="20"/>
      <c r="F78" s="63"/>
      <c r="G78" s="8"/>
      <c r="H78" s="8"/>
      <c r="I78" s="10"/>
      <c r="J78" s="10"/>
      <c r="K78" s="9"/>
      <c r="L78" s="9"/>
      <c r="M78" s="9"/>
      <c r="N7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8" s="660"/>
      <c r="P78" s="660"/>
      <c r="Q78" s="461"/>
      <c r="R78" s="381"/>
      <c r="S78" s="37"/>
      <c r="T78" s="37"/>
      <c r="U78" s="37"/>
      <c r="V78" s="37"/>
      <c r="W78" s="37"/>
      <c r="X78" s="37"/>
      <c r="Y7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8" s="37"/>
      <c r="AA78" s="662" t="str">
        <f>IF(COUNTA(CCTSAS[[#This Row],[Nom]:[heures annuelles
selon contrat(s)]])=0,"",CCTSAS[[#This Row],[Total global]]-ABS(CCTSAS[[#This Row],[Dont non opposable]]))</f>
        <v/>
      </c>
      <c r="AB78" s="8"/>
      <c r="AC78" s="63"/>
      <c r="AD78" s="428"/>
      <c r="AE78" s="428"/>
      <c r="AF78" s="428"/>
      <c r="AG78" s="43"/>
      <c r="AH78" s="183" t="str">
        <f>IF(COUNTA(CCTSAS[[#This Row],[Nom]:[heures annuelles
selon contrat(s)]])=0,"",REVEX!$E$9)</f>
        <v/>
      </c>
      <c r="AI78" s="72" t="str">
        <f>IF(CCTSAS[[#This Row],[Allocation fonctions]]="","",IF(ISNA(VLOOKUP(CCTSAS[[#This Row],[Allocation fonctions]],DROPDOWN[Dropdown82],1,FALSE))=TRUE,"Veuillez utiliser les allocations parmis la liste déroulante.",""))</f>
        <v/>
      </c>
    </row>
    <row r="79" spans="1:35" x14ac:dyDescent="0.25">
      <c r="A79" s="72" t="str">
        <f>IF(CCTSAS[[#This Row],[Carrière]]="","",IF(ISNA(VLOOKUP(CCTSAS[[#This Row],[Carrière]],DROPDOWN[Dropdown9],1,FALSE))=TRUE,"Carrière: Utiliser la liste déroulante",""))</f>
        <v/>
      </c>
      <c r="B79" s="554" t="str">
        <f>IF(CCTSAS[[#This Row],[Matricule]]="","",MAX($B$7:B78)+1)</f>
        <v/>
      </c>
      <c r="C79" s="8"/>
      <c r="D79" s="8"/>
      <c r="E79" s="20"/>
      <c r="F79" s="63"/>
      <c r="G79" s="8"/>
      <c r="H79" s="8"/>
      <c r="I79" s="10"/>
      <c r="J79" s="10"/>
      <c r="K79" s="9"/>
      <c r="L79" s="9"/>
      <c r="M79" s="9"/>
      <c r="N7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79" s="660"/>
      <c r="P79" s="660"/>
      <c r="Q79" s="461"/>
      <c r="R79" s="381"/>
      <c r="S79" s="37"/>
      <c r="T79" s="37"/>
      <c r="U79" s="37"/>
      <c r="V79" s="37"/>
      <c r="W79" s="37"/>
      <c r="X79" s="37"/>
      <c r="Y7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79" s="37"/>
      <c r="AA79" s="662" t="str">
        <f>IF(COUNTA(CCTSAS[[#This Row],[Nom]:[heures annuelles
selon contrat(s)]])=0,"",CCTSAS[[#This Row],[Total global]]-ABS(CCTSAS[[#This Row],[Dont non opposable]]))</f>
        <v/>
      </c>
      <c r="AB79" s="8"/>
      <c r="AC79" s="63"/>
      <c r="AD79" s="428"/>
      <c r="AE79" s="428"/>
      <c r="AF79" s="428"/>
      <c r="AG79" s="43"/>
      <c r="AH79" s="183" t="str">
        <f>IF(COUNTA(CCTSAS[[#This Row],[Nom]:[heures annuelles
selon contrat(s)]])=0,"",REVEX!$E$9)</f>
        <v/>
      </c>
      <c r="AI79" s="72" t="str">
        <f>IF(CCTSAS[[#This Row],[Allocation fonctions]]="","",IF(ISNA(VLOOKUP(CCTSAS[[#This Row],[Allocation fonctions]],DROPDOWN[Dropdown82],1,FALSE))=TRUE,"Veuillez utiliser les allocations parmis la liste déroulante.",""))</f>
        <v/>
      </c>
    </row>
    <row r="80" spans="1:35" x14ac:dyDescent="0.25">
      <c r="A80" s="72" t="str">
        <f>IF(CCTSAS[[#This Row],[Carrière]]="","",IF(ISNA(VLOOKUP(CCTSAS[[#This Row],[Carrière]],DROPDOWN[Dropdown9],1,FALSE))=TRUE,"Carrière: Utiliser la liste déroulante",""))</f>
        <v/>
      </c>
      <c r="B80" s="554" t="str">
        <f>IF(CCTSAS[[#This Row],[Matricule]]="","",MAX($B$7:B79)+1)</f>
        <v/>
      </c>
      <c r="C80" s="8"/>
      <c r="D80" s="8"/>
      <c r="E80" s="20"/>
      <c r="F80" s="63"/>
      <c r="G80" s="8"/>
      <c r="H80" s="8"/>
      <c r="I80" s="10"/>
      <c r="J80" s="10"/>
      <c r="K80" s="9"/>
      <c r="L80" s="9"/>
      <c r="M80" s="9"/>
      <c r="N8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0" s="660"/>
      <c r="P80" s="660"/>
      <c r="Q80" s="461"/>
      <c r="R80" s="381"/>
      <c r="S80" s="37"/>
      <c r="T80" s="37"/>
      <c r="U80" s="37"/>
      <c r="V80" s="37"/>
      <c r="W80" s="37"/>
      <c r="X80" s="37"/>
      <c r="Y8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0" s="37"/>
      <c r="AA80" s="662" t="str">
        <f>IF(COUNTA(CCTSAS[[#This Row],[Nom]:[heures annuelles
selon contrat(s)]])=0,"",CCTSAS[[#This Row],[Total global]]-ABS(CCTSAS[[#This Row],[Dont non opposable]]))</f>
        <v/>
      </c>
      <c r="AB80" s="8"/>
      <c r="AC80" s="63"/>
      <c r="AD80" s="428"/>
      <c r="AE80" s="428"/>
      <c r="AF80" s="428"/>
      <c r="AG80" s="43"/>
      <c r="AH80" s="183" t="str">
        <f>IF(COUNTA(CCTSAS[[#This Row],[Nom]:[heures annuelles
selon contrat(s)]])=0,"",REVEX!$E$9)</f>
        <v/>
      </c>
      <c r="AI80" s="72" t="str">
        <f>IF(CCTSAS[[#This Row],[Allocation fonctions]]="","",IF(ISNA(VLOOKUP(CCTSAS[[#This Row],[Allocation fonctions]],DROPDOWN[Dropdown82],1,FALSE))=TRUE,"Veuillez utiliser les allocations parmis la liste déroulante.",""))</f>
        <v/>
      </c>
    </row>
    <row r="81" spans="1:35" x14ac:dyDescent="0.25">
      <c r="A81" s="72" t="str">
        <f>IF(CCTSAS[[#This Row],[Carrière]]="","",IF(ISNA(VLOOKUP(CCTSAS[[#This Row],[Carrière]],DROPDOWN[Dropdown9],1,FALSE))=TRUE,"Carrière: Utiliser la liste déroulante",""))</f>
        <v/>
      </c>
      <c r="B81" s="554" t="str">
        <f>IF(CCTSAS[[#This Row],[Matricule]]="","",MAX($B$7:B80)+1)</f>
        <v/>
      </c>
      <c r="C81" s="8"/>
      <c r="D81" s="8"/>
      <c r="E81" s="20"/>
      <c r="F81" s="63"/>
      <c r="G81" s="8"/>
      <c r="H81" s="8"/>
      <c r="I81" s="10"/>
      <c r="J81" s="10"/>
      <c r="K81" s="9"/>
      <c r="L81" s="9"/>
      <c r="M81" s="9"/>
      <c r="N8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1" s="660"/>
      <c r="P81" s="660"/>
      <c r="Q81" s="461"/>
      <c r="R81" s="381"/>
      <c r="S81" s="37"/>
      <c r="T81" s="37"/>
      <c r="U81" s="37"/>
      <c r="V81" s="37"/>
      <c r="W81" s="37"/>
      <c r="X81" s="37"/>
      <c r="Y8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1" s="37"/>
      <c r="AA81" s="662" t="str">
        <f>IF(COUNTA(CCTSAS[[#This Row],[Nom]:[heures annuelles
selon contrat(s)]])=0,"",CCTSAS[[#This Row],[Total global]]-ABS(CCTSAS[[#This Row],[Dont non opposable]]))</f>
        <v/>
      </c>
      <c r="AB81" s="8"/>
      <c r="AC81" s="63"/>
      <c r="AD81" s="428"/>
      <c r="AE81" s="428"/>
      <c r="AF81" s="428"/>
      <c r="AG81" s="43"/>
      <c r="AH81" s="183" t="str">
        <f>IF(COUNTA(CCTSAS[[#This Row],[Nom]:[heures annuelles
selon contrat(s)]])=0,"",REVEX!$E$9)</f>
        <v/>
      </c>
      <c r="AI81" s="72" t="str">
        <f>IF(CCTSAS[[#This Row],[Allocation fonctions]]="","",IF(ISNA(VLOOKUP(CCTSAS[[#This Row],[Allocation fonctions]],DROPDOWN[Dropdown82],1,FALSE))=TRUE,"Veuillez utiliser les allocations parmis la liste déroulante.",""))</f>
        <v/>
      </c>
    </row>
    <row r="82" spans="1:35" x14ac:dyDescent="0.25">
      <c r="A82" s="72" t="str">
        <f>IF(CCTSAS[[#This Row],[Carrière]]="","",IF(ISNA(VLOOKUP(CCTSAS[[#This Row],[Carrière]],DROPDOWN[Dropdown9],1,FALSE))=TRUE,"Carrière: Utiliser la liste déroulante",""))</f>
        <v/>
      </c>
      <c r="B82" s="554" t="str">
        <f>IF(CCTSAS[[#This Row],[Matricule]]="","",MAX($B$7:B81)+1)</f>
        <v/>
      </c>
      <c r="C82" s="8"/>
      <c r="D82" s="8"/>
      <c r="E82" s="20"/>
      <c r="F82" s="63"/>
      <c r="G82" s="8"/>
      <c r="H82" s="8"/>
      <c r="I82" s="10"/>
      <c r="J82" s="10"/>
      <c r="K82" s="9"/>
      <c r="L82" s="9"/>
      <c r="M82" s="9"/>
      <c r="N8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2" s="660"/>
      <c r="P82" s="660"/>
      <c r="Q82" s="461"/>
      <c r="R82" s="381"/>
      <c r="S82" s="37"/>
      <c r="T82" s="37"/>
      <c r="U82" s="37"/>
      <c r="V82" s="37"/>
      <c r="W82" s="37"/>
      <c r="X82" s="37"/>
      <c r="Y8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2" s="37"/>
      <c r="AA82" s="662" t="str">
        <f>IF(COUNTA(CCTSAS[[#This Row],[Nom]:[heures annuelles
selon contrat(s)]])=0,"",CCTSAS[[#This Row],[Total global]]-ABS(CCTSAS[[#This Row],[Dont non opposable]]))</f>
        <v/>
      </c>
      <c r="AB82" s="8"/>
      <c r="AC82" s="63"/>
      <c r="AD82" s="428"/>
      <c r="AE82" s="428"/>
      <c r="AF82" s="428"/>
      <c r="AG82" s="43"/>
      <c r="AH82" s="183" t="str">
        <f>IF(COUNTA(CCTSAS[[#This Row],[Nom]:[heures annuelles
selon contrat(s)]])=0,"",REVEX!$E$9)</f>
        <v/>
      </c>
      <c r="AI82" s="72" t="str">
        <f>IF(CCTSAS[[#This Row],[Allocation fonctions]]="","",IF(ISNA(VLOOKUP(CCTSAS[[#This Row],[Allocation fonctions]],DROPDOWN[Dropdown82],1,FALSE))=TRUE,"Veuillez utiliser les allocations parmis la liste déroulante.",""))</f>
        <v/>
      </c>
    </row>
    <row r="83" spans="1:35" x14ac:dyDescent="0.25">
      <c r="A83" s="72" t="str">
        <f>IF(CCTSAS[[#This Row],[Carrière]]="","",IF(ISNA(VLOOKUP(CCTSAS[[#This Row],[Carrière]],DROPDOWN[Dropdown9],1,FALSE))=TRUE,"Carrière: Utiliser la liste déroulante",""))</f>
        <v/>
      </c>
      <c r="B83" s="554" t="str">
        <f>IF(CCTSAS[[#This Row],[Matricule]]="","",MAX($B$7:B82)+1)</f>
        <v/>
      </c>
      <c r="C83" s="8"/>
      <c r="D83" s="8"/>
      <c r="E83" s="20"/>
      <c r="F83" s="63"/>
      <c r="G83" s="8"/>
      <c r="H83" s="8"/>
      <c r="I83" s="10"/>
      <c r="J83" s="10"/>
      <c r="K83" s="9"/>
      <c r="L83" s="9"/>
      <c r="M83" s="9"/>
      <c r="N8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3" s="660"/>
      <c r="P83" s="660"/>
      <c r="Q83" s="461"/>
      <c r="R83" s="381"/>
      <c r="S83" s="37"/>
      <c r="T83" s="37"/>
      <c r="U83" s="37"/>
      <c r="V83" s="37"/>
      <c r="W83" s="37"/>
      <c r="X83" s="37"/>
      <c r="Y8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3" s="37"/>
      <c r="AA83" s="662" t="str">
        <f>IF(COUNTA(CCTSAS[[#This Row],[Nom]:[heures annuelles
selon contrat(s)]])=0,"",CCTSAS[[#This Row],[Total global]]-ABS(CCTSAS[[#This Row],[Dont non opposable]]))</f>
        <v/>
      </c>
      <c r="AB83" s="8"/>
      <c r="AC83" s="63"/>
      <c r="AD83" s="428"/>
      <c r="AE83" s="428"/>
      <c r="AF83" s="428"/>
      <c r="AG83" s="43"/>
      <c r="AH83" s="183" t="str">
        <f>IF(COUNTA(CCTSAS[[#This Row],[Nom]:[heures annuelles
selon contrat(s)]])=0,"",REVEX!$E$9)</f>
        <v/>
      </c>
      <c r="AI83" s="72" t="str">
        <f>IF(CCTSAS[[#This Row],[Allocation fonctions]]="","",IF(ISNA(VLOOKUP(CCTSAS[[#This Row],[Allocation fonctions]],DROPDOWN[Dropdown82],1,FALSE))=TRUE,"Veuillez utiliser les allocations parmis la liste déroulante.",""))</f>
        <v/>
      </c>
    </row>
    <row r="84" spans="1:35" x14ac:dyDescent="0.25">
      <c r="A84" s="72" t="str">
        <f>IF(CCTSAS[[#This Row],[Carrière]]="","",IF(ISNA(VLOOKUP(CCTSAS[[#This Row],[Carrière]],DROPDOWN[Dropdown9],1,FALSE))=TRUE,"Carrière: Utiliser la liste déroulante",""))</f>
        <v/>
      </c>
      <c r="B84" s="554" t="str">
        <f>IF(CCTSAS[[#This Row],[Matricule]]="","",MAX($B$7:B83)+1)</f>
        <v/>
      </c>
      <c r="C84" s="8"/>
      <c r="D84" s="8"/>
      <c r="E84" s="20"/>
      <c r="F84" s="63"/>
      <c r="G84" s="8"/>
      <c r="H84" s="8"/>
      <c r="I84" s="10"/>
      <c r="J84" s="10"/>
      <c r="K84" s="9"/>
      <c r="L84" s="9"/>
      <c r="M84" s="9"/>
      <c r="N8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4" s="660"/>
      <c r="P84" s="660"/>
      <c r="Q84" s="461"/>
      <c r="R84" s="381"/>
      <c r="S84" s="37"/>
      <c r="T84" s="37"/>
      <c r="U84" s="37"/>
      <c r="V84" s="37"/>
      <c r="W84" s="37"/>
      <c r="X84" s="37"/>
      <c r="Y8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4" s="37"/>
      <c r="AA84" s="662" t="str">
        <f>IF(COUNTA(CCTSAS[[#This Row],[Nom]:[heures annuelles
selon contrat(s)]])=0,"",CCTSAS[[#This Row],[Total global]]-ABS(CCTSAS[[#This Row],[Dont non opposable]]))</f>
        <v/>
      </c>
      <c r="AB84" s="8"/>
      <c r="AC84" s="63"/>
      <c r="AD84" s="428"/>
      <c r="AE84" s="428"/>
      <c r="AF84" s="428"/>
      <c r="AG84" s="43"/>
      <c r="AH84" s="183" t="str">
        <f>IF(COUNTA(CCTSAS[[#This Row],[Nom]:[heures annuelles
selon contrat(s)]])=0,"",REVEX!$E$9)</f>
        <v/>
      </c>
      <c r="AI84" s="72" t="str">
        <f>IF(CCTSAS[[#This Row],[Allocation fonctions]]="","",IF(ISNA(VLOOKUP(CCTSAS[[#This Row],[Allocation fonctions]],DROPDOWN[Dropdown82],1,FALSE))=TRUE,"Veuillez utiliser les allocations parmis la liste déroulante.",""))</f>
        <v/>
      </c>
    </row>
    <row r="85" spans="1:35" x14ac:dyDescent="0.25">
      <c r="A85" s="72" t="str">
        <f>IF(CCTSAS[[#This Row],[Carrière]]="","",IF(ISNA(VLOOKUP(CCTSAS[[#This Row],[Carrière]],DROPDOWN[Dropdown9],1,FALSE))=TRUE,"Carrière: Utiliser la liste déroulante",""))</f>
        <v/>
      </c>
      <c r="B85" s="554" t="str">
        <f>IF(CCTSAS[[#This Row],[Matricule]]="","",MAX($B$7:B84)+1)</f>
        <v/>
      </c>
      <c r="C85" s="8"/>
      <c r="D85" s="8"/>
      <c r="E85" s="20"/>
      <c r="F85" s="63"/>
      <c r="G85" s="8"/>
      <c r="H85" s="8"/>
      <c r="I85" s="10"/>
      <c r="J85" s="10"/>
      <c r="K85" s="9"/>
      <c r="L85" s="9"/>
      <c r="M85" s="9"/>
      <c r="N8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5" s="660"/>
      <c r="P85" s="660"/>
      <c r="Q85" s="461"/>
      <c r="R85" s="381"/>
      <c r="S85" s="37"/>
      <c r="T85" s="37"/>
      <c r="U85" s="37"/>
      <c r="V85" s="37"/>
      <c r="W85" s="37"/>
      <c r="X85" s="37"/>
      <c r="Y8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5" s="37"/>
      <c r="AA85" s="662" t="str">
        <f>IF(COUNTA(CCTSAS[[#This Row],[Nom]:[heures annuelles
selon contrat(s)]])=0,"",CCTSAS[[#This Row],[Total global]]-ABS(CCTSAS[[#This Row],[Dont non opposable]]))</f>
        <v/>
      </c>
      <c r="AB85" s="8"/>
      <c r="AC85" s="63"/>
      <c r="AD85" s="428"/>
      <c r="AE85" s="428"/>
      <c r="AF85" s="428"/>
      <c r="AG85" s="43"/>
      <c r="AH85" s="183" t="str">
        <f>IF(COUNTA(CCTSAS[[#This Row],[Nom]:[heures annuelles
selon contrat(s)]])=0,"",REVEX!$E$9)</f>
        <v/>
      </c>
      <c r="AI85" s="72" t="str">
        <f>IF(CCTSAS[[#This Row],[Allocation fonctions]]="","",IF(ISNA(VLOOKUP(CCTSAS[[#This Row],[Allocation fonctions]],DROPDOWN[Dropdown82],1,FALSE))=TRUE,"Veuillez utiliser les allocations parmis la liste déroulante.",""))</f>
        <v/>
      </c>
    </row>
    <row r="86" spans="1:35" x14ac:dyDescent="0.25">
      <c r="A86" s="72" t="str">
        <f>IF(CCTSAS[[#This Row],[Carrière]]="","",IF(ISNA(VLOOKUP(CCTSAS[[#This Row],[Carrière]],DROPDOWN[Dropdown9],1,FALSE))=TRUE,"Carrière: Utiliser la liste déroulante",""))</f>
        <v/>
      </c>
      <c r="B86" s="554" t="str">
        <f>IF(CCTSAS[[#This Row],[Matricule]]="","",MAX($B$7:B85)+1)</f>
        <v/>
      </c>
      <c r="C86" s="8"/>
      <c r="D86" s="8"/>
      <c r="E86" s="20"/>
      <c r="F86" s="63"/>
      <c r="G86" s="8"/>
      <c r="H86" s="8"/>
      <c r="I86" s="10"/>
      <c r="J86" s="10"/>
      <c r="K86" s="9"/>
      <c r="L86" s="9"/>
      <c r="M86" s="9"/>
      <c r="N8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6" s="660"/>
      <c r="P86" s="660"/>
      <c r="Q86" s="461"/>
      <c r="R86" s="381"/>
      <c r="S86" s="37"/>
      <c r="T86" s="37"/>
      <c r="U86" s="37"/>
      <c r="V86" s="37"/>
      <c r="W86" s="37"/>
      <c r="X86" s="37"/>
      <c r="Y8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6" s="37"/>
      <c r="AA86" s="662" t="str">
        <f>IF(COUNTA(CCTSAS[[#This Row],[Nom]:[heures annuelles
selon contrat(s)]])=0,"",CCTSAS[[#This Row],[Total global]]-ABS(CCTSAS[[#This Row],[Dont non opposable]]))</f>
        <v/>
      </c>
      <c r="AB86" s="8"/>
      <c r="AC86" s="63"/>
      <c r="AD86" s="428"/>
      <c r="AE86" s="428"/>
      <c r="AF86" s="428"/>
      <c r="AG86" s="43"/>
      <c r="AH86" s="183" t="str">
        <f>IF(COUNTA(CCTSAS[[#This Row],[Nom]:[heures annuelles
selon contrat(s)]])=0,"",REVEX!$E$9)</f>
        <v/>
      </c>
      <c r="AI86" s="72" t="str">
        <f>IF(CCTSAS[[#This Row],[Allocation fonctions]]="","",IF(ISNA(VLOOKUP(CCTSAS[[#This Row],[Allocation fonctions]],DROPDOWN[Dropdown82],1,FALSE))=TRUE,"Veuillez utiliser les allocations parmis la liste déroulante.",""))</f>
        <v/>
      </c>
    </row>
    <row r="87" spans="1:35" x14ac:dyDescent="0.25">
      <c r="A87" s="72" t="str">
        <f>IF(CCTSAS[[#This Row],[Carrière]]="","",IF(ISNA(VLOOKUP(CCTSAS[[#This Row],[Carrière]],DROPDOWN[Dropdown9],1,FALSE))=TRUE,"Carrière: Utiliser la liste déroulante",""))</f>
        <v/>
      </c>
      <c r="B87" s="554" t="str">
        <f>IF(CCTSAS[[#This Row],[Matricule]]="","",MAX($B$7:B86)+1)</f>
        <v/>
      </c>
      <c r="C87" s="8"/>
      <c r="D87" s="8"/>
      <c r="E87" s="20"/>
      <c r="F87" s="63"/>
      <c r="G87" s="8"/>
      <c r="H87" s="8"/>
      <c r="I87" s="10"/>
      <c r="J87" s="10"/>
      <c r="K87" s="9"/>
      <c r="L87" s="9"/>
      <c r="M87" s="9"/>
      <c r="N8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7" s="660"/>
      <c r="P87" s="660"/>
      <c r="Q87" s="461"/>
      <c r="R87" s="381"/>
      <c r="S87" s="37"/>
      <c r="T87" s="37"/>
      <c r="U87" s="37"/>
      <c r="V87" s="37"/>
      <c r="W87" s="37"/>
      <c r="X87" s="37"/>
      <c r="Y8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7" s="37"/>
      <c r="AA87" s="662" t="str">
        <f>IF(COUNTA(CCTSAS[[#This Row],[Nom]:[heures annuelles
selon contrat(s)]])=0,"",CCTSAS[[#This Row],[Total global]]-ABS(CCTSAS[[#This Row],[Dont non opposable]]))</f>
        <v/>
      </c>
      <c r="AB87" s="8"/>
      <c r="AC87" s="63"/>
      <c r="AD87" s="428"/>
      <c r="AE87" s="428"/>
      <c r="AF87" s="428"/>
      <c r="AG87" s="43"/>
      <c r="AH87" s="183" t="str">
        <f>IF(COUNTA(CCTSAS[[#This Row],[Nom]:[heures annuelles
selon contrat(s)]])=0,"",REVEX!$E$9)</f>
        <v/>
      </c>
      <c r="AI87" s="72" t="str">
        <f>IF(CCTSAS[[#This Row],[Allocation fonctions]]="","",IF(ISNA(VLOOKUP(CCTSAS[[#This Row],[Allocation fonctions]],DROPDOWN[Dropdown82],1,FALSE))=TRUE,"Veuillez utiliser les allocations parmis la liste déroulante.",""))</f>
        <v/>
      </c>
    </row>
    <row r="88" spans="1:35" x14ac:dyDescent="0.25">
      <c r="A88" s="72" t="str">
        <f>IF(CCTSAS[[#This Row],[Carrière]]="","",IF(ISNA(VLOOKUP(CCTSAS[[#This Row],[Carrière]],DROPDOWN[Dropdown9],1,FALSE))=TRUE,"Carrière: Utiliser la liste déroulante",""))</f>
        <v/>
      </c>
      <c r="B88" s="554" t="str">
        <f>IF(CCTSAS[[#This Row],[Matricule]]="","",MAX($B$7:B87)+1)</f>
        <v/>
      </c>
      <c r="C88" s="8"/>
      <c r="D88" s="8"/>
      <c r="E88" s="20"/>
      <c r="F88" s="63"/>
      <c r="G88" s="8"/>
      <c r="H88" s="8"/>
      <c r="I88" s="10"/>
      <c r="J88" s="10"/>
      <c r="K88" s="9"/>
      <c r="L88" s="9"/>
      <c r="M88" s="9"/>
      <c r="N8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8" s="660"/>
      <c r="P88" s="660"/>
      <c r="Q88" s="461"/>
      <c r="R88" s="381"/>
      <c r="S88" s="37"/>
      <c r="T88" s="37"/>
      <c r="U88" s="37"/>
      <c r="V88" s="37"/>
      <c r="W88" s="37"/>
      <c r="X88" s="37"/>
      <c r="Y8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8" s="37"/>
      <c r="AA88" s="662" t="str">
        <f>IF(COUNTA(CCTSAS[[#This Row],[Nom]:[heures annuelles
selon contrat(s)]])=0,"",CCTSAS[[#This Row],[Total global]]-ABS(CCTSAS[[#This Row],[Dont non opposable]]))</f>
        <v/>
      </c>
      <c r="AB88" s="8"/>
      <c r="AC88" s="63"/>
      <c r="AD88" s="428"/>
      <c r="AE88" s="428"/>
      <c r="AF88" s="428"/>
      <c r="AG88" s="43"/>
      <c r="AH88" s="183" t="str">
        <f>IF(COUNTA(CCTSAS[[#This Row],[Nom]:[heures annuelles
selon contrat(s)]])=0,"",REVEX!$E$9)</f>
        <v/>
      </c>
      <c r="AI88" s="72" t="str">
        <f>IF(CCTSAS[[#This Row],[Allocation fonctions]]="","",IF(ISNA(VLOOKUP(CCTSAS[[#This Row],[Allocation fonctions]],DROPDOWN[Dropdown82],1,FALSE))=TRUE,"Veuillez utiliser les allocations parmis la liste déroulante.",""))</f>
        <v/>
      </c>
    </row>
    <row r="89" spans="1:35" x14ac:dyDescent="0.25">
      <c r="A89" s="72" t="str">
        <f>IF(CCTSAS[[#This Row],[Carrière]]="","",IF(ISNA(VLOOKUP(CCTSAS[[#This Row],[Carrière]],DROPDOWN[Dropdown9],1,FALSE))=TRUE,"Carrière: Utiliser la liste déroulante",""))</f>
        <v/>
      </c>
      <c r="B89" s="554" t="str">
        <f>IF(CCTSAS[[#This Row],[Matricule]]="","",MAX($B$7:B88)+1)</f>
        <v/>
      </c>
      <c r="C89" s="8"/>
      <c r="D89" s="8"/>
      <c r="E89" s="20"/>
      <c r="F89" s="63"/>
      <c r="G89" s="8"/>
      <c r="H89" s="8"/>
      <c r="I89" s="10"/>
      <c r="J89" s="10"/>
      <c r="K89" s="9"/>
      <c r="L89" s="9"/>
      <c r="M89" s="9"/>
      <c r="N8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89" s="660"/>
      <c r="P89" s="660"/>
      <c r="Q89" s="461"/>
      <c r="R89" s="381"/>
      <c r="S89" s="37"/>
      <c r="T89" s="37"/>
      <c r="U89" s="37"/>
      <c r="V89" s="37"/>
      <c r="W89" s="37"/>
      <c r="X89" s="37"/>
      <c r="Y8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89" s="37"/>
      <c r="AA89" s="662" t="str">
        <f>IF(COUNTA(CCTSAS[[#This Row],[Nom]:[heures annuelles
selon contrat(s)]])=0,"",CCTSAS[[#This Row],[Total global]]-ABS(CCTSAS[[#This Row],[Dont non opposable]]))</f>
        <v/>
      </c>
      <c r="AB89" s="8"/>
      <c r="AC89" s="63"/>
      <c r="AD89" s="428"/>
      <c r="AE89" s="428"/>
      <c r="AF89" s="428"/>
      <c r="AG89" s="43"/>
      <c r="AH89" s="183" t="str">
        <f>IF(COUNTA(CCTSAS[[#This Row],[Nom]:[heures annuelles
selon contrat(s)]])=0,"",REVEX!$E$9)</f>
        <v/>
      </c>
      <c r="AI89" s="72" t="str">
        <f>IF(CCTSAS[[#This Row],[Allocation fonctions]]="","",IF(ISNA(VLOOKUP(CCTSAS[[#This Row],[Allocation fonctions]],DROPDOWN[Dropdown82],1,FALSE))=TRUE,"Veuillez utiliser les allocations parmis la liste déroulante.",""))</f>
        <v/>
      </c>
    </row>
    <row r="90" spans="1:35" x14ac:dyDescent="0.25">
      <c r="A90" s="72" t="str">
        <f>IF(CCTSAS[[#This Row],[Carrière]]="","",IF(ISNA(VLOOKUP(CCTSAS[[#This Row],[Carrière]],DROPDOWN[Dropdown9],1,FALSE))=TRUE,"Carrière: Utiliser la liste déroulante",""))</f>
        <v/>
      </c>
      <c r="B90" s="554" t="str">
        <f>IF(CCTSAS[[#This Row],[Matricule]]="","",MAX($B$7:B89)+1)</f>
        <v/>
      </c>
      <c r="C90" s="8"/>
      <c r="D90" s="8"/>
      <c r="E90" s="20"/>
      <c r="F90" s="63"/>
      <c r="G90" s="8"/>
      <c r="H90" s="8"/>
      <c r="I90" s="10"/>
      <c r="J90" s="10"/>
      <c r="K90" s="9"/>
      <c r="L90" s="9"/>
      <c r="M90" s="9"/>
      <c r="N9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0" s="660"/>
      <c r="P90" s="660"/>
      <c r="Q90" s="461"/>
      <c r="R90" s="381"/>
      <c r="S90" s="37"/>
      <c r="T90" s="37"/>
      <c r="U90" s="37"/>
      <c r="V90" s="37"/>
      <c r="W90" s="37"/>
      <c r="X90" s="37"/>
      <c r="Y9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0" s="37"/>
      <c r="AA90" s="662" t="str">
        <f>IF(COUNTA(CCTSAS[[#This Row],[Nom]:[heures annuelles
selon contrat(s)]])=0,"",CCTSAS[[#This Row],[Total global]]-ABS(CCTSAS[[#This Row],[Dont non opposable]]))</f>
        <v/>
      </c>
      <c r="AB90" s="8"/>
      <c r="AC90" s="63"/>
      <c r="AD90" s="428"/>
      <c r="AE90" s="428"/>
      <c r="AF90" s="428"/>
      <c r="AG90" s="43"/>
      <c r="AH90" s="183" t="str">
        <f>IF(COUNTA(CCTSAS[[#This Row],[Nom]:[heures annuelles
selon contrat(s)]])=0,"",REVEX!$E$9)</f>
        <v/>
      </c>
      <c r="AI90" s="72" t="str">
        <f>IF(CCTSAS[[#This Row],[Allocation fonctions]]="","",IF(ISNA(VLOOKUP(CCTSAS[[#This Row],[Allocation fonctions]],DROPDOWN[Dropdown82],1,FALSE))=TRUE,"Veuillez utiliser les allocations parmis la liste déroulante.",""))</f>
        <v/>
      </c>
    </row>
    <row r="91" spans="1:35" x14ac:dyDescent="0.25">
      <c r="A91" s="72" t="str">
        <f>IF(CCTSAS[[#This Row],[Carrière]]="","",IF(ISNA(VLOOKUP(CCTSAS[[#This Row],[Carrière]],DROPDOWN[Dropdown9],1,FALSE))=TRUE,"Carrière: Utiliser la liste déroulante",""))</f>
        <v/>
      </c>
      <c r="B91" s="554" t="str">
        <f>IF(CCTSAS[[#This Row],[Matricule]]="","",MAX($B$7:B90)+1)</f>
        <v/>
      </c>
      <c r="C91" s="8"/>
      <c r="D91" s="8"/>
      <c r="E91" s="20"/>
      <c r="F91" s="63"/>
      <c r="G91" s="8"/>
      <c r="H91" s="8"/>
      <c r="I91" s="10"/>
      <c r="J91" s="10"/>
      <c r="K91" s="9"/>
      <c r="L91" s="9"/>
      <c r="M91" s="9"/>
      <c r="N9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1" s="660"/>
      <c r="P91" s="660"/>
      <c r="Q91" s="461"/>
      <c r="R91" s="381"/>
      <c r="S91" s="37"/>
      <c r="T91" s="37"/>
      <c r="U91" s="37"/>
      <c r="V91" s="37"/>
      <c r="W91" s="37"/>
      <c r="X91" s="37"/>
      <c r="Y9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1" s="37"/>
      <c r="AA91" s="662" t="str">
        <f>IF(COUNTA(CCTSAS[[#This Row],[Nom]:[heures annuelles
selon contrat(s)]])=0,"",CCTSAS[[#This Row],[Total global]]-ABS(CCTSAS[[#This Row],[Dont non opposable]]))</f>
        <v/>
      </c>
      <c r="AB91" s="8"/>
      <c r="AC91" s="63"/>
      <c r="AD91" s="428"/>
      <c r="AE91" s="428"/>
      <c r="AF91" s="428"/>
      <c r="AG91" s="43"/>
      <c r="AH91" s="183" t="str">
        <f>IF(COUNTA(CCTSAS[[#This Row],[Nom]:[heures annuelles
selon contrat(s)]])=0,"",REVEX!$E$9)</f>
        <v/>
      </c>
      <c r="AI91" s="72" t="str">
        <f>IF(CCTSAS[[#This Row],[Allocation fonctions]]="","",IF(ISNA(VLOOKUP(CCTSAS[[#This Row],[Allocation fonctions]],DROPDOWN[Dropdown82],1,FALSE))=TRUE,"Veuillez utiliser les allocations parmis la liste déroulante.",""))</f>
        <v/>
      </c>
    </row>
    <row r="92" spans="1:35" x14ac:dyDescent="0.25">
      <c r="A92" s="72" t="str">
        <f>IF(CCTSAS[[#This Row],[Carrière]]="","",IF(ISNA(VLOOKUP(CCTSAS[[#This Row],[Carrière]],DROPDOWN[Dropdown9],1,FALSE))=TRUE,"Carrière: Utiliser la liste déroulante",""))</f>
        <v/>
      </c>
      <c r="B92" s="554" t="str">
        <f>IF(CCTSAS[[#This Row],[Matricule]]="","",MAX($B$7:B91)+1)</f>
        <v/>
      </c>
      <c r="C92" s="8"/>
      <c r="D92" s="8"/>
      <c r="E92" s="20"/>
      <c r="F92" s="63"/>
      <c r="G92" s="8"/>
      <c r="H92" s="8"/>
      <c r="I92" s="10"/>
      <c r="J92" s="10"/>
      <c r="K92" s="9"/>
      <c r="L92" s="9"/>
      <c r="M92" s="9"/>
      <c r="N9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2" s="660"/>
      <c r="P92" s="660"/>
      <c r="Q92" s="461"/>
      <c r="R92" s="381"/>
      <c r="S92" s="37"/>
      <c r="T92" s="37"/>
      <c r="U92" s="37"/>
      <c r="V92" s="37"/>
      <c r="W92" s="37"/>
      <c r="X92" s="37"/>
      <c r="Y9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2" s="37"/>
      <c r="AA92" s="662" t="str">
        <f>IF(COUNTA(CCTSAS[[#This Row],[Nom]:[heures annuelles
selon contrat(s)]])=0,"",CCTSAS[[#This Row],[Total global]]-ABS(CCTSAS[[#This Row],[Dont non opposable]]))</f>
        <v/>
      </c>
      <c r="AB92" s="8"/>
      <c r="AC92" s="63"/>
      <c r="AD92" s="428"/>
      <c r="AE92" s="428"/>
      <c r="AF92" s="428"/>
      <c r="AG92" s="43"/>
      <c r="AH92" s="183" t="str">
        <f>IF(COUNTA(CCTSAS[[#This Row],[Nom]:[heures annuelles
selon contrat(s)]])=0,"",REVEX!$E$9)</f>
        <v/>
      </c>
      <c r="AI92" s="72" t="str">
        <f>IF(CCTSAS[[#This Row],[Allocation fonctions]]="","",IF(ISNA(VLOOKUP(CCTSAS[[#This Row],[Allocation fonctions]],DROPDOWN[Dropdown82],1,FALSE))=TRUE,"Veuillez utiliser les allocations parmis la liste déroulante.",""))</f>
        <v/>
      </c>
    </row>
    <row r="93" spans="1:35" x14ac:dyDescent="0.25">
      <c r="A93" s="72" t="str">
        <f>IF(CCTSAS[[#This Row],[Carrière]]="","",IF(ISNA(VLOOKUP(CCTSAS[[#This Row],[Carrière]],DROPDOWN[Dropdown9],1,FALSE))=TRUE,"Carrière: Utiliser la liste déroulante",""))</f>
        <v/>
      </c>
      <c r="B93" s="554" t="str">
        <f>IF(CCTSAS[[#This Row],[Matricule]]="","",MAX($B$7:B92)+1)</f>
        <v/>
      </c>
      <c r="C93" s="8"/>
      <c r="D93" s="8"/>
      <c r="E93" s="20"/>
      <c r="F93" s="63"/>
      <c r="G93" s="8"/>
      <c r="H93" s="8"/>
      <c r="I93" s="10"/>
      <c r="J93" s="10"/>
      <c r="K93" s="9"/>
      <c r="L93" s="9"/>
      <c r="M93" s="9"/>
      <c r="N9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3" s="660"/>
      <c r="P93" s="660"/>
      <c r="Q93" s="461"/>
      <c r="R93" s="381"/>
      <c r="S93" s="37"/>
      <c r="T93" s="37"/>
      <c r="U93" s="37"/>
      <c r="V93" s="37"/>
      <c r="W93" s="37"/>
      <c r="X93" s="37"/>
      <c r="Y9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3" s="37"/>
      <c r="AA93" s="662" t="str">
        <f>IF(COUNTA(CCTSAS[[#This Row],[Nom]:[heures annuelles
selon contrat(s)]])=0,"",CCTSAS[[#This Row],[Total global]]-ABS(CCTSAS[[#This Row],[Dont non opposable]]))</f>
        <v/>
      </c>
      <c r="AB93" s="8"/>
      <c r="AC93" s="63"/>
      <c r="AD93" s="428"/>
      <c r="AE93" s="428"/>
      <c r="AF93" s="428"/>
      <c r="AG93" s="43"/>
      <c r="AH93" s="183" t="str">
        <f>IF(COUNTA(CCTSAS[[#This Row],[Nom]:[heures annuelles
selon contrat(s)]])=0,"",REVEX!$E$9)</f>
        <v/>
      </c>
      <c r="AI93" s="72" t="str">
        <f>IF(CCTSAS[[#This Row],[Allocation fonctions]]="","",IF(ISNA(VLOOKUP(CCTSAS[[#This Row],[Allocation fonctions]],DROPDOWN[Dropdown82],1,FALSE))=TRUE,"Veuillez utiliser les allocations parmis la liste déroulante.",""))</f>
        <v/>
      </c>
    </row>
    <row r="94" spans="1:35" x14ac:dyDescent="0.25">
      <c r="A94" s="72" t="str">
        <f>IF(CCTSAS[[#This Row],[Carrière]]="","",IF(ISNA(VLOOKUP(CCTSAS[[#This Row],[Carrière]],DROPDOWN[Dropdown9],1,FALSE))=TRUE,"Carrière: Utiliser la liste déroulante",""))</f>
        <v/>
      </c>
      <c r="B94" s="554" t="str">
        <f>IF(CCTSAS[[#This Row],[Matricule]]="","",MAX($B$7:B93)+1)</f>
        <v/>
      </c>
      <c r="C94" s="8"/>
      <c r="D94" s="8"/>
      <c r="E94" s="20"/>
      <c r="F94" s="63"/>
      <c r="G94" s="8"/>
      <c r="H94" s="8"/>
      <c r="I94" s="10"/>
      <c r="J94" s="10"/>
      <c r="K94" s="9"/>
      <c r="L94" s="9"/>
      <c r="M94" s="9"/>
      <c r="N9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4" s="660"/>
      <c r="P94" s="660"/>
      <c r="Q94" s="461"/>
      <c r="R94" s="381"/>
      <c r="S94" s="37"/>
      <c r="T94" s="37"/>
      <c r="U94" s="37"/>
      <c r="V94" s="37"/>
      <c r="W94" s="37"/>
      <c r="X94" s="37"/>
      <c r="Y9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4" s="37"/>
      <c r="AA94" s="662" t="str">
        <f>IF(COUNTA(CCTSAS[[#This Row],[Nom]:[heures annuelles
selon contrat(s)]])=0,"",CCTSAS[[#This Row],[Total global]]-ABS(CCTSAS[[#This Row],[Dont non opposable]]))</f>
        <v/>
      </c>
      <c r="AB94" s="8"/>
      <c r="AC94" s="63"/>
      <c r="AD94" s="428"/>
      <c r="AE94" s="428"/>
      <c r="AF94" s="428"/>
      <c r="AG94" s="43"/>
      <c r="AH94" s="183" t="str">
        <f>IF(COUNTA(CCTSAS[[#This Row],[Nom]:[heures annuelles
selon contrat(s)]])=0,"",REVEX!$E$9)</f>
        <v/>
      </c>
      <c r="AI94" s="72" t="str">
        <f>IF(CCTSAS[[#This Row],[Allocation fonctions]]="","",IF(ISNA(VLOOKUP(CCTSAS[[#This Row],[Allocation fonctions]],DROPDOWN[Dropdown82],1,FALSE))=TRUE,"Veuillez utiliser les allocations parmis la liste déroulante.",""))</f>
        <v/>
      </c>
    </row>
    <row r="95" spans="1:35" x14ac:dyDescent="0.25">
      <c r="A95" s="72" t="str">
        <f>IF(CCTSAS[[#This Row],[Carrière]]="","",IF(ISNA(VLOOKUP(CCTSAS[[#This Row],[Carrière]],DROPDOWN[Dropdown9],1,FALSE))=TRUE,"Carrière: Utiliser la liste déroulante",""))</f>
        <v/>
      </c>
      <c r="B95" s="554" t="str">
        <f>IF(CCTSAS[[#This Row],[Matricule]]="","",MAX($B$7:B94)+1)</f>
        <v/>
      </c>
      <c r="C95" s="8"/>
      <c r="D95" s="8"/>
      <c r="E95" s="20"/>
      <c r="F95" s="63"/>
      <c r="G95" s="8"/>
      <c r="H95" s="8"/>
      <c r="I95" s="10"/>
      <c r="J95" s="10"/>
      <c r="K95" s="9"/>
      <c r="L95" s="9"/>
      <c r="M95" s="9"/>
      <c r="N9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5" s="660"/>
      <c r="P95" s="660"/>
      <c r="Q95" s="461"/>
      <c r="R95" s="381"/>
      <c r="S95" s="37"/>
      <c r="T95" s="37"/>
      <c r="U95" s="37"/>
      <c r="V95" s="37"/>
      <c r="W95" s="37"/>
      <c r="X95" s="37"/>
      <c r="Y9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5" s="37"/>
      <c r="AA95" s="662" t="str">
        <f>IF(COUNTA(CCTSAS[[#This Row],[Nom]:[heures annuelles
selon contrat(s)]])=0,"",CCTSAS[[#This Row],[Total global]]-ABS(CCTSAS[[#This Row],[Dont non opposable]]))</f>
        <v/>
      </c>
      <c r="AB95" s="8"/>
      <c r="AC95" s="63"/>
      <c r="AD95" s="428"/>
      <c r="AE95" s="428"/>
      <c r="AF95" s="428"/>
      <c r="AG95" s="43"/>
      <c r="AH95" s="183" t="str">
        <f>IF(COUNTA(CCTSAS[[#This Row],[Nom]:[heures annuelles
selon contrat(s)]])=0,"",REVEX!$E$9)</f>
        <v/>
      </c>
      <c r="AI95" s="72" t="str">
        <f>IF(CCTSAS[[#This Row],[Allocation fonctions]]="","",IF(ISNA(VLOOKUP(CCTSAS[[#This Row],[Allocation fonctions]],DROPDOWN[Dropdown82],1,FALSE))=TRUE,"Veuillez utiliser les allocations parmis la liste déroulante.",""))</f>
        <v/>
      </c>
    </row>
    <row r="96" spans="1:35" x14ac:dyDescent="0.25">
      <c r="A96" s="72" t="str">
        <f>IF(CCTSAS[[#This Row],[Carrière]]="","",IF(ISNA(VLOOKUP(CCTSAS[[#This Row],[Carrière]],DROPDOWN[Dropdown9],1,FALSE))=TRUE,"Carrière: Utiliser la liste déroulante",""))</f>
        <v/>
      </c>
      <c r="B96" s="554" t="str">
        <f>IF(CCTSAS[[#This Row],[Matricule]]="","",MAX($B$7:B95)+1)</f>
        <v/>
      </c>
      <c r="C96" s="8"/>
      <c r="D96" s="8"/>
      <c r="E96" s="20"/>
      <c r="F96" s="63"/>
      <c r="G96" s="8"/>
      <c r="H96" s="8"/>
      <c r="I96" s="10"/>
      <c r="J96" s="10"/>
      <c r="K96" s="9"/>
      <c r="L96" s="9"/>
      <c r="M96" s="9"/>
      <c r="N9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6" s="660"/>
      <c r="P96" s="660"/>
      <c r="Q96" s="461"/>
      <c r="R96" s="381"/>
      <c r="S96" s="37"/>
      <c r="T96" s="37"/>
      <c r="U96" s="37"/>
      <c r="V96" s="37"/>
      <c r="W96" s="37"/>
      <c r="X96" s="37"/>
      <c r="Y9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6" s="37"/>
      <c r="AA96" s="662" t="str">
        <f>IF(COUNTA(CCTSAS[[#This Row],[Nom]:[heures annuelles
selon contrat(s)]])=0,"",CCTSAS[[#This Row],[Total global]]-ABS(CCTSAS[[#This Row],[Dont non opposable]]))</f>
        <v/>
      </c>
      <c r="AB96" s="8"/>
      <c r="AC96" s="63"/>
      <c r="AD96" s="428"/>
      <c r="AE96" s="428"/>
      <c r="AF96" s="428"/>
      <c r="AG96" s="43"/>
      <c r="AH96" s="183" t="str">
        <f>IF(COUNTA(CCTSAS[[#This Row],[Nom]:[heures annuelles
selon contrat(s)]])=0,"",REVEX!$E$9)</f>
        <v/>
      </c>
      <c r="AI96" s="72" t="str">
        <f>IF(CCTSAS[[#This Row],[Allocation fonctions]]="","",IF(ISNA(VLOOKUP(CCTSAS[[#This Row],[Allocation fonctions]],DROPDOWN[Dropdown82],1,FALSE))=TRUE,"Veuillez utiliser les allocations parmis la liste déroulante.",""))</f>
        <v/>
      </c>
    </row>
    <row r="97" spans="1:35" x14ac:dyDescent="0.25">
      <c r="A97" s="72" t="str">
        <f>IF(CCTSAS[[#This Row],[Carrière]]="","",IF(ISNA(VLOOKUP(CCTSAS[[#This Row],[Carrière]],DROPDOWN[Dropdown9],1,FALSE))=TRUE,"Carrière: Utiliser la liste déroulante",""))</f>
        <v/>
      </c>
      <c r="B97" s="554" t="str">
        <f>IF(CCTSAS[[#This Row],[Matricule]]="","",MAX($B$7:B96)+1)</f>
        <v/>
      </c>
      <c r="C97" s="8"/>
      <c r="D97" s="8"/>
      <c r="E97" s="20"/>
      <c r="F97" s="63"/>
      <c r="G97" s="8"/>
      <c r="H97" s="8"/>
      <c r="I97" s="10"/>
      <c r="J97" s="10"/>
      <c r="K97" s="9"/>
      <c r="L97" s="9"/>
      <c r="M97" s="9"/>
      <c r="N9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7" s="660"/>
      <c r="P97" s="660"/>
      <c r="Q97" s="461"/>
      <c r="R97" s="381"/>
      <c r="S97" s="37"/>
      <c r="T97" s="37"/>
      <c r="U97" s="37"/>
      <c r="V97" s="37"/>
      <c r="W97" s="37"/>
      <c r="X97" s="37"/>
      <c r="Y9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7" s="37"/>
      <c r="AA97" s="662" t="str">
        <f>IF(COUNTA(CCTSAS[[#This Row],[Nom]:[heures annuelles
selon contrat(s)]])=0,"",CCTSAS[[#This Row],[Total global]]-ABS(CCTSAS[[#This Row],[Dont non opposable]]))</f>
        <v/>
      </c>
      <c r="AB97" s="8"/>
      <c r="AC97" s="63"/>
      <c r="AD97" s="428"/>
      <c r="AE97" s="428"/>
      <c r="AF97" s="428"/>
      <c r="AG97" s="43"/>
      <c r="AH97" s="183" t="str">
        <f>IF(COUNTA(CCTSAS[[#This Row],[Nom]:[heures annuelles
selon contrat(s)]])=0,"",REVEX!$E$9)</f>
        <v/>
      </c>
      <c r="AI97" s="72" t="str">
        <f>IF(CCTSAS[[#This Row],[Allocation fonctions]]="","",IF(ISNA(VLOOKUP(CCTSAS[[#This Row],[Allocation fonctions]],DROPDOWN[Dropdown82],1,FALSE))=TRUE,"Veuillez utiliser les allocations parmis la liste déroulante.",""))</f>
        <v/>
      </c>
    </row>
    <row r="98" spans="1:35" x14ac:dyDescent="0.25">
      <c r="A98" s="72" t="str">
        <f>IF(CCTSAS[[#This Row],[Carrière]]="","",IF(ISNA(VLOOKUP(CCTSAS[[#This Row],[Carrière]],DROPDOWN[Dropdown9],1,FALSE))=TRUE,"Carrière: Utiliser la liste déroulante",""))</f>
        <v/>
      </c>
      <c r="B98" s="554" t="str">
        <f>IF(CCTSAS[[#This Row],[Matricule]]="","",MAX($B$7:B97)+1)</f>
        <v/>
      </c>
      <c r="C98" s="8"/>
      <c r="D98" s="8"/>
      <c r="E98" s="20"/>
      <c r="F98" s="63"/>
      <c r="G98" s="8"/>
      <c r="H98" s="8"/>
      <c r="I98" s="10"/>
      <c r="J98" s="10"/>
      <c r="K98" s="9"/>
      <c r="L98" s="9"/>
      <c r="M98" s="9"/>
      <c r="N9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8" s="660"/>
      <c r="P98" s="660"/>
      <c r="Q98" s="461"/>
      <c r="R98" s="381"/>
      <c r="S98" s="37"/>
      <c r="T98" s="37"/>
      <c r="U98" s="37"/>
      <c r="V98" s="37"/>
      <c r="W98" s="37"/>
      <c r="X98" s="37"/>
      <c r="Y9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8" s="37"/>
      <c r="AA98" s="662" t="str">
        <f>IF(COUNTA(CCTSAS[[#This Row],[Nom]:[heures annuelles
selon contrat(s)]])=0,"",CCTSAS[[#This Row],[Total global]]-ABS(CCTSAS[[#This Row],[Dont non opposable]]))</f>
        <v/>
      </c>
      <c r="AB98" s="8"/>
      <c r="AC98" s="63"/>
      <c r="AD98" s="428"/>
      <c r="AE98" s="428"/>
      <c r="AF98" s="428"/>
      <c r="AG98" s="43"/>
      <c r="AH98" s="183" t="str">
        <f>IF(COUNTA(CCTSAS[[#This Row],[Nom]:[heures annuelles
selon contrat(s)]])=0,"",REVEX!$E$9)</f>
        <v/>
      </c>
      <c r="AI98" s="72" t="str">
        <f>IF(CCTSAS[[#This Row],[Allocation fonctions]]="","",IF(ISNA(VLOOKUP(CCTSAS[[#This Row],[Allocation fonctions]],DROPDOWN[Dropdown82],1,FALSE))=TRUE,"Veuillez utiliser les allocations parmis la liste déroulante.",""))</f>
        <v/>
      </c>
    </row>
    <row r="99" spans="1:35" x14ac:dyDescent="0.25">
      <c r="A99" s="72" t="str">
        <f>IF(CCTSAS[[#This Row],[Carrière]]="","",IF(ISNA(VLOOKUP(CCTSAS[[#This Row],[Carrière]],DROPDOWN[Dropdown9],1,FALSE))=TRUE,"Carrière: Utiliser la liste déroulante",""))</f>
        <v/>
      </c>
      <c r="B99" s="554" t="str">
        <f>IF(CCTSAS[[#This Row],[Matricule]]="","",MAX($B$7:B98)+1)</f>
        <v/>
      </c>
      <c r="C99" s="8"/>
      <c r="D99" s="8"/>
      <c r="E99" s="20"/>
      <c r="F99" s="63"/>
      <c r="G99" s="8"/>
      <c r="H99" s="8"/>
      <c r="I99" s="10"/>
      <c r="J99" s="10"/>
      <c r="K99" s="9"/>
      <c r="L99" s="9"/>
      <c r="M99" s="9"/>
      <c r="N9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99" s="660"/>
      <c r="P99" s="660"/>
      <c r="Q99" s="461"/>
      <c r="R99" s="381"/>
      <c r="S99" s="37"/>
      <c r="T99" s="37"/>
      <c r="U99" s="37"/>
      <c r="V99" s="37"/>
      <c r="W99" s="37"/>
      <c r="X99" s="37"/>
      <c r="Y9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99" s="37"/>
      <c r="AA99" s="662" t="str">
        <f>IF(COUNTA(CCTSAS[[#This Row],[Nom]:[heures annuelles
selon contrat(s)]])=0,"",CCTSAS[[#This Row],[Total global]]-ABS(CCTSAS[[#This Row],[Dont non opposable]]))</f>
        <v/>
      </c>
      <c r="AB99" s="8"/>
      <c r="AC99" s="63"/>
      <c r="AD99" s="428"/>
      <c r="AE99" s="428"/>
      <c r="AF99" s="428"/>
      <c r="AG99" s="43"/>
      <c r="AH99" s="183" t="str">
        <f>IF(COUNTA(CCTSAS[[#This Row],[Nom]:[heures annuelles
selon contrat(s)]])=0,"",REVEX!$E$9)</f>
        <v/>
      </c>
      <c r="AI99" s="72" t="str">
        <f>IF(CCTSAS[[#This Row],[Allocation fonctions]]="","",IF(ISNA(VLOOKUP(CCTSAS[[#This Row],[Allocation fonctions]],DROPDOWN[Dropdown82],1,FALSE))=TRUE,"Veuillez utiliser les allocations parmis la liste déroulante.",""))</f>
        <v/>
      </c>
    </row>
    <row r="100" spans="1:35" x14ac:dyDescent="0.25">
      <c r="A100" s="72" t="str">
        <f>IF(CCTSAS[[#This Row],[Carrière]]="","",IF(ISNA(VLOOKUP(CCTSAS[[#This Row],[Carrière]],DROPDOWN[Dropdown9],1,FALSE))=TRUE,"Carrière: Utiliser la liste déroulante",""))</f>
        <v/>
      </c>
      <c r="B100" s="554" t="str">
        <f>IF(CCTSAS[[#This Row],[Matricule]]="","",MAX($B$7:B99)+1)</f>
        <v/>
      </c>
      <c r="C100" s="8"/>
      <c r="D100" s="8"/>
      <c r="E100" s="20"/>
      <c r="F100" s="63"/>
      <c r="G100" s="8"/>
      <c r="H100" s="8"/>
      <c r="I100" s="10"/>
      <c r="J100" s="10"/>
      <c r="K100" s="9"/>
      <c r="L100" s="9"/>
      <c r="M100" s="9"/>
      <c r="N10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0" s="660"/>
      <c r="P100" s="660"/>
      <c r="Q100" s="461"/>
      <c r="R100" s="381"/>
      <c r="S100" s="37"/>
      <c r="T100" s="37"/>
      <c r="U100" s="37"/>
      <c r="V100" s="37"/>
      <c r="W100" s="37"/>
      <c r="X100" s="37"/>
      <c r="Y10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0" s="37"/>
      <c r="AA100" s="662" t="str">
        <f>IF(COUNTA(CCTSAS[[#This Row],[Nom]:[heures annuelles
selon contrat(s)]])=0,"",CCTSAS[[#This Row],[Total global]]-ABS(CCTSAS[[#This Row],[Dont non opposable]]))</f>
        <v/>
      </c>
      <c r="AB100" s="8"/>
      <c r="AC100" s="63"/>
      <c r="AD100" s="428"/>
      <c r="AE100" s="428"/>
      <c r="AF100" s="428"/>
      <c r="AG100" s="43"/>
      <c r="AH100" s="183" t="str">
        <f>IF(COUNTA(CCTSAS[[#This Row],[Nom]:[heures annuelles
selon contrat(s)]])=0,"",REVEX!$E$9)</f>
        <v/>
      </c>
      <c r="AI100" s="72" t="str">
        <f>IF(CCTSAS[[#This Row],[Allocation fonctions]]="","",IF(ISNA(VLOOKUP(CCTSAS[[#This Row],[Allocation fonctions]],DROPDOWN[Dropdown82],1,FALSE))=TRUE,"Veuillez utiliser les allocations parmis la liste déroulante.",""))</f>
        <v/>
      </c>
    </row>
    <row r="101" spans="1:35" x14ac:dyDescent="0.25">
      <c r="A101" s="72" t="str">
        <f>IF(CCTSAS[[#This Row],[Carrière]]="","",IF(ISNA(VLOOKUP(CCTSAS[[#This Row],[Carrière]],DROPDOWN[Dropdown9],1,FALSE))=TRUE,"Carrière: Utiliser la liste déroulante",""))</f>
        <v/>
      </c>
      <c r="B101" s="554" t="str">
        <f>IF(CCTSAS[[#This Row],[Matricule]]="","",MAX($B$7:B100)+1)</f>
        <v/>
      </c>
      <c r="C101" s="8"/>
      <c r="D101" s="8"/>
      <c r="E101" s="20"/>
      <c r="F101" s="63"/>
      <c r="G101" s="8"/>
      <c r="H101" s="8"/>
      <c r="I101" s="10"/>
      <c r="J101" s="10"/>
      <c r="K101" s="9"/>
      <c r="L101" s="9"/>
      <c r="M101" s="9"/>
      <c r="N10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1" s="660"/>
      <c r="P101" s="660"/>
      <c r="Q101" s="461"/>
      <c r="R101" s="381"/>
      <c r="S101" s="37"/>
      <c r="T101" s="37"/>
      <c r="U101" s="37"/>
      <c r="V101" s="37"/>
      <c r="W101" s="37"/>
      <c r="X101" s="37"/>
      <c r="Y10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1" s="37"/>
      <c r="AA101" s="662" t="str">
        <f>IF(COUNTA(CCTSAS[[#This Row],[Nom]:[heures annuelles
selon contrat(s)]])=0,"",CCTSAS[[#This Row],[Total global]]-ABS(CCTSAS[[#This Row],[Dont non opposable]]))</f>
        <v/>
      </c>
      <c r="AB101" s="8"/>
      <c r="AC101" s="63"/>
      <c r="AD101" s="428"/>
      <c r="AE101" s="428"/>
      <c r="AF101" s="428"/>
      <c r="AG101" s="43"/>
      <c r="AH101" s="183" t="str">
        <f>IF(COUNTA(CCTSAS[[#This Row],[Nom]:[heures annuelles
selon contrat(s)]])=0,"",REVEX!$E$9)</f>
        <v/>
      </c>
      <c r="AI101" s="72" t="str">
        <f>IF(CCTSAS[[#This Row],[Allocation fonctions]]="","",IF(ISNA(VLOOKUP(CCTSAS[[#This Row],[Allocation fonctions]],DROPDOWN[Dropdown82],1,FALSE))=TRUE,"Veuillez utiliser les allocations parmis la liste déroulante.",""))</f>
        <v/>
      </c>
    </row>
    <row r="102" spans="1:35" x14ac:dyDescent="0.25">
      <c r="A102" s="72" t="str">
        <f>IF(CCTSAS[[#This Row],[Carrière]]="","",IF(ISNA(VLOOKUP(CCTSAS[[#This Row],[Carrière]],DROPDOWN[Dropdown9],1,FALSE))=TRUE,"Carrière: Utiliser la liste déroulante",""))</f>
        <v/>
      </c>
      <c r="B102" s="554" t="str">
        <f>IF(CCTSAS[[#This Row],[Matricule]]="","",MAX($B$7:B101)+1)</f>
        <v/>
      </c>
      <c r="C102" s="8"/>
      <c r="D102" s="8"/>
      <c r="E102" s="20"/>
      <c r="F102" s="63"/>
      <c r="G102" s="8"/>
      <c r="H102" s="8"/>
      <c r="I102" s="10"/>
      <c r="J102" s="10"/>
      <c r="K102" s="9"/>
      <c r="L102" s="9"/>
      <c r="M102" s="9"/>
      <c r="N10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2" s="660"/>
      <c r="P102" s="660"/>
      <c r="Q102" s="461"/>
      <c r="R102" s="381"/>
      <c r="S102" s="37"/>
      <c r="T102" s="37"/>
      <c r="U102" s="37"/>
      <c r="V102" s="37"/>
      <c r="W102" s="37"/>
      <c r="X102" s="37"/>
      <c r="Y10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2" s="37"/>
      <c r="AA102" s="662" t="str">
        <f>IF(COUNTA(CCTSAS[[#This Row],[Nom]:[heures annuelles
selon contrat(s)]])=0,"",CCTSAS[[#This Row],[Total global]]-ABS(CCTSAS[[#This Row],[Dont non opposable]]))</f>
        <v/>
      </c>
      <c r="AB102" s="8"/>
      <c r="AC102" s="63"/>
      <c r="AD102" s="428"/>
      <c r="AE102" s="428"/>
      <c r="AF102" s="428"/>
      <c r="AG102" s="43"/>
      <c r="AH102" s="183" t="str">
        <f>IF(COUNTA(CCTSAS[[#This Row],[Nom]:[heures annuelles
selon contrat(s)]])=0,"",REVEX!$E$9)</f>
        <v/>
      </c>
      <c r="AI102" s="72" t="str">
        <f>IF(CCTSAS[[#This Row],[Allocation fonctions]]="","",IF(ISNA(VLOOKUP(CCTSAS[[#This Row],[Allocation fonctions]],DROPDOWN[Dropdown82],1,FALSE))=TRUE,"Veuillez utiliser les allocations parmis la liste déroulante.",""))</f>
        <v/>
      </c>
    </row>
    <row r="103" spans="1:35" x14ac:dyDescent="0.25">
      <c r="A103" s="72" t="str">
        <f>IF(CCTSAS[[#This Row],[Carrière]]="","",IF(ISNA(VLOOKUP(CCTSAS[[#This Row],[Carrière]],DROPDOWN[Dropdown9],1,FALSE))=TRUE,"Carrière: Utiliser la liste déroulante",""))</f>
        <v/>
      </c>
      <c r="B103" s="554" t="str">
        <f>IF(CCTSAS[[#This Row],[Matricule]]="","",MAX($B$7:B102)+1)</f>
        <v/>
      </c>
      <c r="C103" s="8"/>
      <c r="D103" s="8"/>
      <c r="E103" s="20"/>
      <c r="F103" s="63"/>
      <c r="G103" s="8"/>
      <c r="H103" s="8"/>
      <c r="I103" s="10"/>
      <c r="J103" s="10"/>
      <c r="K103" s="9"/>
      <c r="L103" s="9"/>
      <c r="M103" s="9"/>
      <c r="N10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3" s="660"/>
      <c r="P103" s="660"/>
      <c r="Q103" s="461"/>
      <c r="R103" s="381"/>
      <c r="S103" s="37"/>
      <c r="T103" s="37"/>
      <c r="U103" s="37"/>
      <c r="V103" s="37"/>
      <c r="W103" s="37"/>
      <c r="X103" s="37"/>
      <c r="Y10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3" s="37"/>
      <c r="AA103" s="662" t="str">
        <f>IF(COUNTA(CCTSAS[[#This Row],[Nom]:[heures annuelles
selon contrat(s)]])=0,"",CCTSAS[[#This Row],[Total global]]-ABS(CCTSAS[[#This Row],[Dont non opposable]]))</f>
        <v/>
      </c>
      <c r="AB103" s="8"/>
      <c r="AC103" s="63"/>
      <c r="AD103" s="428"/>
      <c r="AE103" s="428"/>
      <c r="AF103" s="428"/>
      <c r="AG103" s="43"/>
      <c r="AH103" s="183" t="str">
        <f>IF(COUNTA(CCTSAS[[#This Row],[Nom]:[heures annuelles
selon contrat(s)]])=0,"",REVEX!$E$9)</f>
        <v/>
      </c>
      <c r="AI103" s="72" t="str">
        <f>IF(CCTSAS[[#This Row],[Allocation fonctions]]="","",IF(ISNA(VLOOKUP(CCTSAS[[#This Row],[Allocation fonctions]],DROPDOWN[Dropdown82],1,FALSE))=TRUE,"Veuillez utiliser les allocations parmis la liste déroulante.",""))</f>
        <v/>
      </c>
    </row>
    <row r="104" spans="1:35" x14ac:dyDescent="0.25">
      <c r="A104" s="72" t="str">
        <f>IF(CCTSAS[[#This Row],[Carrière]]="","",IF(ISNA(VLOOKUP(CCTSAS[[#This Row],[Carrière]],DROPDOWN[Dropdown9],1,FALSE))=TRUE,"Carrière: Utiliser la liste déroulante",""))</f>
        <v/>
      </c>
      <c r="B104" s="554" t="str">
        <f>IF(CCTSAS[[#This Row],[Matricule]]="","",MAX($B$7:B103)+1)</f>
        <v/>
      </c>
      <c r="C104" s="8"/>
      <c r="D104" s="8"/>
      <c r="E104" s="20"/>
      <c r="F104" s="63"/>
      <c r="G104" s="8"/>
      <c r="H104" s="8"/>
      <c r="I104" s="10"/>
      <c r="J104" s="10"/>
      <c r="K104" s="9"/>
      <c r="L104" s="9"/>
      <c r="M104" s="9"/>
      <c r="N10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4" s="660"/>
      <c r="P104" s="660"/>
      <c r="Q104" s="461"/>
      <c r="R104" s="381"/>
      <c r="S104" s="37"/>
      <c r="T104" s="37"/>
      <c r="U104" s="37"/>
      <c r="V104" s="37"/>
      <c r="W104" s="37"/>
      <c r="X104" s="37"/>
      <c r="Y10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4" s="37"/>
      <c r="AA104" s="662" t="str">
        <f>IF(COUNTA(CCTSAS[[#This Row],[Nom]:[heures annuelles
selon contrat(s)]])=0,"",CCTSAS[[#This Row],[Total global]]-ABS(CCTSAS[[#This Row],[Dont non opposable]]))</f>
        <v/>
      </c>
      <c r="AB104" s="8"/>
      <c r="AC104" s="63"/>
      <c r="AD104" s="428"/>
      <c r="AE104" s="428"/>
      <c r="AF104" s="428"/>
      <c r="AG104" s="43"/>
      <c r="AH104" s="183" t="str">
        <f>IF(COUNTA(CCTSAS[[#This Row],[Nom]:[heures annuelles
selon contrat(s)]])=0,"",REVEX!$E$9)</f>
        <v/>
      </c>
      <c r="AI104" s="72" t="str">
        <f>IF(CCTSAS[[#This Row],[Allocation fonctions]]="","",IF(ISNA(VLOOKUP(CCTSAS[[#This Row],[Allocation fonctions]],DROPDOWN[Dropdown82],1,FALSE))=TRUE,"Veuillez utiliser les allocations parmis la liste déroulante.",""))</f>
        <v/>
      </c>
    </row>
    <row r="105" spans="1:35" x14ac:dyDescent="0.25">
      <c r="A105" s="72" t="str">
        <f>IF(CCTSAS[[#This Row],[Carrière]]="","",IF(ISNA(VLOOKUP(CCTSAS[[#This Row],[Carrière]],DROPDOWN[Dropdown9],1,FALSE))=TRUE,"Carrière: Utiliser la liste déroulante",""))</f>
        <v/>
      </c>
      <c r="B105" s="554" t="str">
        <f>IF(CCTSAS[[#This Row],[Matricule]]="","",MAX($B$7:B104)+1)</f>
        <v/>
      </c>
      <c r="C105" s="8"/>
      <c r="D105" s="8"/>
      <c r="E105" s="20"/>
      <c r="F105" s="63"/>
      <c r="G105" s="8"/>
      <c r="H105" s="8"/>
      <c r="I105" s="10"/>
      <c r="J105" s="10"/>
      <c r="K105" s="9"/>
      <c r="L105" s="9"/>
      <c r="M105" s="9"/>
      <c r="N10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5" s="660"/>
      <c r="P105" s="660"/>
      <c r="Q105" s="461"/>
      <c r="R105" s="381"/>
      <c r="S105" s="37"/>
      <c r="T105" s="37"/>
      <c r="U105" s="37"/>
      <c r="V105" s="37"/>
      <c r="W105" s="37"/>
      <c r="X105" s="37"/>
      <c r="Y10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5" s="37"/>
      <c r="AA105" s="662" t="str">
        <f>IF(COUNTA(CCTSAS[[#This Row],[Nom]:[heures annuelles
selon contrat(s)]])=0,"",CCTSAS[[#This Row],[Total global]]-ABS(CCTSAS[[#This Row],[Dont non opposable]]))</f>
        <v/>
      </c>
      <c r="AB105" s="8"/>
      <c r="AC105" s="63"/>
      <c r="AD105" s="428"/>
      <c r="AE105" s="428"/>
      <c r="AF105" s="428"/>
      <c r="AG105" s="43"/>
      <c r="AH105" s="183" t="str">
        <f>IF(COUNTA(CCTSAS[[#This Row],[Nom]:[heures annuelles
selon contrat(s)]])=0,"",REVEX!$E$9)</f>
        <v/>
      </c>
      <c r="AI105" s="72" t="str">
        <f>IF(CCTSAS[[#This Row],[Allocation fonctions]]="","",IF(ISNA(VLOOKUP(CCTSAS[[#This Row],[Allocation fonctions]],DROPDOWN[Dropdown82],1,FALSE))=TRUE,"Veuillez utiliser les allocations parmis la liste déroulante.",""))</f>
        <v/>
      </c>
    </row>
    <row r="106" spans="1:35" x14ac:dyDescent="0.25">
      <c r="A106" s="72" t="str">
        <f>IF(CCTSAS[[#This Row],[Carrière]]="","",IF(ISNA(VLOOKUP(CCTSAS[[#This Row],[Carrière]],DROPDOWN[Dropdown9],1,FALSE))=TRUE,"Carrière: Utiliser la liste déroulante",""))</f>
        <v/>
      </c>
      <c r="B106" s="554" t="str">
        <f>IF(CCTSAS[[#This Row],[Matricule]]="","",MAX($B$7:B105)+1)</f>
        <v/>
      </c>
      <c r="C106" s="8"/>
      <c r="D106" s="8"/>
      <c r="E106" s="20"/>
      <c r="F106" s="63"/>
      <c r="G106" s="8"/>
      <c r="H106" s="8"/>
      <c r="I106" s="10"/>
      <c r="J106" s="10"/>
      <c r="K106" s="9"/>
      <c r="L106" s="9"/>
      <c r="M106" s="9"/>
      <c r="N10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6" s="660"/>
      <c r="P106" s="660"/>
      <c r="Q106" s="461"/>
      <c r="R106" s="381"/>
      <c r="S106" s="37"/>
      <c r="T106" s="37"/>
      <c r="U106" s="37"/>
      <c r="V106" s="37"/>
      <c r="W106" s="37"/>
      <c r="X106" s="37"/>
      <c r="Y10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6" s="37"/>
      <c r="AA106" s="662" t="str">
        <f>IF(COUNTA(CCTSAS[[#This Row],[Nom]:[heures annuelles
selon contrat(s)]])=0,"",CCTSAS[[#This Row],[Total global]]-ABS(CCTSAS[[#This Row],[Dont non opposable]]))</f>
        <v/>
      </c>
      <c r="AB106" s="8"/>
      <c r="AC106" s="63"/>
      <c r="AD106" s="428"/>
      <c r="AE106" s="428"/>
      <c r="AF106" s="428"/>
      <c r="AG106" s="43"/>
      <c r="AH106" s="183" t="str">
        <f>IF(COUNTA(CCTSAS[[#This Row],[Nom]:[heures annuelles
selon contrat(s)]])=0,"",REVEX!$E$9)</f>
        <v/>
      </c>
      <c r="AI106" s="72" t="str">
        <f>IF(CCTSAS[[#This Row],[Allocation fonctions]]="","",IF(ISNA(VLOOKUP(CCTSAS[[#This Row],[Allocation fonctions]],DROPDOWN[Dropdown82],1,FALSE))=TRUE,"Veuillez utiliser les allocations parmis la liste déroulante.",""))</f>
        <v/>
      </c>
    </row>
    <row r="107" spans="1:35" x14ac:dyDescent="0.25">
      <c r="A107" s="72" t="str">
        <f>IF(CCTSAS[[#This Row],[Carrière]]="","",IF(ISNA(VLOOKUP(CCTSAS[[#This Row],[Carrière]],DROPDOWN[Dropdown9],1,FALSE))=TRUE,"Carrière: Utiliser la liste déroulante",""))</f>
        <v/>
      </c>
      <c r="B107" s="554" t="str">
        <f>IF(CCTSAS[[#This Row],[Matricule]]="","",MAX($B$7:B106)+1)</f>
        <v/>
      </c>
      <c r="C107" s="8"/>
      <c r="D107" s="8"/>
      <c r="E107" s="20"/>
      <c r="F107" s="63"/>
      <c r="G107" s="8"/>
      <c r="H107" s="8"/>
      <c r="I107" s="10"/>
      <c r="J107" s="10"/>
      <c r="K107" s="9"/>
      <c r="L107" s="9"/>
      <c r="M107" s="9"/>
      <c r="N10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7" s="660"/>
      <c r="P107" s="660"/>
      <c r="Q107" s="461"/>
      <c r="R107" s="381"/>
      <c r="S107" s="37"/>
      <c r="T107" s="37"/>
      <c r="U107" s="37"/>
      <c r="V107" s="37"/>
      <c r="W107" s="37"/>
      <c r="X107" s="37"/>
      <c r="Y10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7" s="37"/>
      <c r="AA107" s="662" t="str">
        <f>IF(COUNTA(CCTSAS[[#This Row],[Nom]:[heures annuelles
selon contrat(s)]])=0,"",CCTSAS[[#This Row],[Total global]]-ABS(CCTSAS[[#This Row],[Dont non opposable]]))</f>
        <v/>
      </c>
      <c r="AB107" s="8"/>
      <c r="AC107" s="63"/>
      <c r="AD107" s="428"/>
      <c r="AE107" s="428"/>
      <c r="AF107" s="428"/>
      <c r="AG107" s="43"/>
      <c r="AH107" s="183" t="str">
        <f>IF(COUNTA(CCTSAS[[#This Row],[Nom]:[heures annuelles
selon contrat(s)]])=0,"",REVEX!$E$9)</f>
        <v/>
      </c>
      <c r="AI107" s="72" t="str">
        <f>IF(CCTSAS[[#This Row],[Allocation fonctions]]="","",IF(ISNA(VLOOKUP(CCTSAS[[#This Row],[Allocation fonctions]],DROPDOWN[Dropdown82],1,FALSE))=TRUE,"Veuillez utiliser les allocations parmis la liste déroulante.",""))</f>
        <v/>
      </c>
    </row>
    <row r="108" spans="1:35" x14ac:dyDescent="0.25">
      <c r="A108" s="72" t="str">
        <f>IF(CCTSAS[[#This Row],[Carrière]]="","",IF(ISNA(VLOOKUP(CCTSAS[[#This Row],[Carrière]],DROPDOWN[Dropdown9],1,FALSE))=TRUE,"Carrière: Utiliser la liste déroulante",""))</f>
        <v/>
      </c>
      <c r="B108" s="554" t="str">
        <f>IF(CCTSAS[[#This Row],[Matricule]]="","",MAX($B$7:B107)+1)</f>
        <v/>
      </c>
      <c r="C108" s="8"/>
      <c r="D108" s="8"/>
      <c r="E108" s="20"/>
      <c r="F108" s="63"/>
      <c r="G108" s="8"/>
      <c r="H108" s="8"/>
      <c r="I108" s="10"/>
      <c r="J108" s="10"/>
      <c r="K108" s="9"/>
      <c r="L108" s="9"/>
      <c r="M108" s="9"/>
      <c r="N10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8" s="660"/>
      <c r="P108" s="660"/>
      <c r="Q108" s="461"/>
      <c r="R108" s="381"/>
      <c r="S108" s="37"/>
      <c r="T108" s="37"/>
      <c r="U108" s="37"/>
      <c r="V108" s="37"/>
      <c r="W108" s="37"/>
      <c r="X108" s="37"/>
      <c r="Y10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8" s="37"/>
      <c r="AA108" s="662" t="str">
        <f>IF(COUNTA(CCTSAS[[#This Row],[Nom]:[heures annuelles
selon contrat(s)]])=0,"",CCTSAS[[#This Row],[Total global]]-ABS(CCTSAS[[#This Row],[Dont non opposable]]))</f>
        <v/>
      </c>
      <c r="AB108" s="8"/>
      <c r="AC108" s="63"/>
      <c r="AD108" s="428"/>
      <c r="AE108" s="428"/>
      <c r="AF108" s="428"/>
      <c r="AG108" s="43"/>
      <c r="AH108" s="183" t="str">
        <f>IF(COUNTA(CCTSAS[[#This Row],[Nom]:[heures annuelles
selon contrat(s)]])=0,"",REVEX!$E$9)</f>
        <v/>
      </c>
      <c r="AI108" s="72" t="str">
        <f>IF(CCTSAS[[#This Row],[Allocation fonctions]]="","",IF(ISNA(VLOOKUP(CCTSAS[[#This Row],[Allocation fonctions]],DROPDOWN[Dropdown82],1,FALSE))=TRUE,"Veuillez utiliser les allocations parmis la liste déroulante.",""))</f>
        <v/>
      </c>
    </row>
    <row r="109" spans="1:35" x14ac:dyDescent="0.25">
      <c r="A109" s="72" t="str">
        <f>IF(CCTSAS[[#This Row],[Carrière]]="","",IF(ISNA(VLOOKUP(CCTSAS[[#This Row],[Carrière]],DROPDOWN[Dropdown9],1,FALSE))=TRUE,"Carrière: Utiliser la liste déroulante",""))</f>
        <v/>
      </c>
      <c r="B109" s="554" t="str">
        <f>IF(CCTSAS[[#This Row],[Matricule]]="","",MAX($B$7:B108)+1)</f>
        <v/>
      </c>
      <c r="C109" s="8"/>
      <c r="D109" s="8"/>
      <c r="E109" s="20"/>
      <c r="F109" s="63"/>
      <c r="G109" s="8"/>
      <c r="H109" s="8"/>
      <c r="I109" s="10"/>
      <c r="J109" s="10"/>
      <c r="K109" s="9"/>
      <c r="L109" s="9"/>
      <c r="M109" s="9"/>
      <c r="N10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09" s="660"/>
      <c r="P109" s="660"/>
      <c r="Q109" s="461"/>
      <c r="R109" s="381"/>
      <c r="S109" s="37"/>
      <c r="T109" s="37"/>
      <c r="U109" s="37"/>
      <c r="V109" s="37"/>
      <c r="W109" s="37"/>
      <c r="X109" s="37"/>
      <c r="Y10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09" s="37"/>
      <c r="AA109" s="662" t="str">
        <f>IF(COUNTA(CCTSAS[[#This Row],[Nom]:[heures annuelles
selon contrat(s)]])=0,"",CCTSAS[[#This Row],[Total global]]-ABS(CCTSAS[[#This Row],[Dont non opposable]]))</f>
        <v/>
      </c>
      <c r="AB109" s="8"/>
      <c r="AC109" s="63"/>
      <c r="AD109" s="428"/>
      <c r="AE109" s="428"/>
      <c r="AF109" s="428"/>
      <c r="AG109" s="43"/>
      <c r="AH109" s="183" t="str">
        <f>IF(COUNTA(CCTSAS[[#This Row],[Nom]:[heures annuelles
selon contrat(s)]])=0,"",REVEX!$E$9)</f>
        <v/>
      </c>
      <c r="AI109" s="72" t="str">
        <f>IF(CCTSAS[[#This Row],[Allocation fonctions]]="","",IF(ISNA(VLOOKUP(CCTSAS[[#This Row],[Allocation fonctions]],DROPDOWN[Dropdown82],1,FALSE))=TRUE,"Veuillez utiliser les allocations parmis la liste déroulante.",""))</f>
        <v/>
      </c>
    </row>
    <row r="110" spans="1:35" x14ac:dyDescent="0.25">
      <c r="A110" s="72" t="str">
        <f>IF(CCTSAS[[#This Row],[Carrière]]="","",IF(ISNA(VLOOKUP(CCTSAS[[#This Row],[Carrière]],DROPDOWN[Dropdown9],1,FALSE))=TRUE,"Carrière: Utiliser la liste déroulante",""))</f>
        <v/>
      </c>
      <c r="B110" s="554" t="str">
        <f>IF(CCTSAS[[#This Row],[Matricule]]="","",MAX($B$7:B109)+1)</f>
        <v/>
      </c>
      <c r="C110" s="8"/>
      <c r="D110" s="8"/>
      <c r="E110" s="20"/>
      <c r="F110" s="63"/>
      <c r="G110" s="8"/>
      <c r="H110" s="8"/>
      <c r="I110" s="10"/>
      <c r="J110" s="10"/>
      <c r="K110" s="9"/>
      <c r="L110" s="9"/>
      <c r="M110" s="9"/>
      <c r="N11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0" s="660"/>
      <c r="P110" s="660"/>
      <c r="Q110" s="461"/>
      <c r="R110" s="381"/>
      <c r="S110" s="37"/>
      <c r="T110" s="37"/>
      <c r="U110" s="37"/>
      <c r="V110" s="37"/>
      <c r="W110" s="37"/>
      <c r="X110" s="37"/>
      <c r="Y11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0" s="37"/>
      <c r="AA110" s="662" t="str">
        <f>IF(COUNTA(CCTSAS[[#This Row],[Nom]:[heures annuelles
selon contrat(s)]])=0,"",CCTSAS[[#This Row],[Total global]]-ABS(CCTSAS[[#This Row],[Dont non opposable]]))</f>
        <v/>
      </c>
      <c r="AB110" s="8"/>
      <c r="AC110" s="63"/>
      <c r="AD110" s="428"/>
      <c r="AE110" s="428"/>
      <c r="AF110" s="428"/>
      <c r="AG110" s="43"/>
      <c r="AH110" s="183" t="str">
        <f>IF(COUNTA(CCTSAS[[#This Row],[Nom]:[heures annuelles
selon contrat(s)]])=0,"",REVEX!$E$9)</f>
        <v/>
      </c>
      <c r="AI110" s="72" t="str">
        <f>IF(CCTSAS[[#This Row],[Allocation fonctions]]="","",IF(ISNA(VLOOKUP(CCTSAS[[#This Row],[Allocation fonctions]],DROPDOWN[Dropdown82],1,FALSE))=TRUE,"Veuillez utiliser les allocations parmis la liste déroulante.",""))</f>
        <v/>
      </c>
    </row>
    <row r="111" spans="1:35" x14ac:dyDescent="0.25">
      <c r="A111" s="72" t="str">
        <f>IF(CCTSAS[[#This Row],[Carrière]]="","",IF(ISNA(VLOOKUP(CCTSAS[[#This Row],[Carrière]],DROPDOWN[Dropdown9],1,FALSE))=TRUE,"Carrière: Utiliser la liste déroulante",""))</f>
        <v/>
      </c>
      <c r="B111" s="554" t="str">
        <f>IF(CCTSAS[[#This Row],[Matricule]]="","",MAX($B$7:B110)+1)</f>
        <v/>
      </c>
      <c r="C111" s="8"/>
      <c r="D111" s="8"/>
      <c r="E111" s="20"/>
      <c r="F111" s="63"/>
      <c r="G111" s="8"/>
      <c r="H111" s="8"/>
      <c r="I111" s="10"/>
      <c r="J111" s="10"/>
      <c r="K111" s="9"/>
      <c r="L111" s="9"/>
      <c r="M111" s="9"/>
      <c r="N11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1" s="660"/>
      <c r="P111" s="660"/>
      <c r="Q111" s="461"/>
      <c r="R111" s="381"/>
      <c r="S111" s="37"/>
      <c r="T111" s="37"/>
      <c r="U111" s="37"/>
      <c r="V111" s="37"/>
      <c r="W111" s="37"/>
      <c r="X111" s="37"/>
      <c r="Y11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1" s="37"/>
      <c r="AA111" s="662" t="str">
        <f>IF(COUNTA(CCTSAS[[#This Row],[Nom]:[heures annuelles
selon contrat(s)]])=0,"",CCTSAS[[#This Row],[Total global]]-ABS(CCTSAS[[#This Row],[Dont non opposable]]))</f>
        <v/>
      </c>
      <c r="AB111" s="8"/>
      <c r="AC111" s="63"/>
      <c r="AD111" s="428"/>
      <c r="AE111" s="428"/>
      <c r="AF111" s="428"/>
      <c r="AG111" s="43"/>
      <c r="AH111" s="183" t="str">
        <f>IF(COUNTA(CCTSAS[[#This Row],[Nom]:[heures annuelles
selon contrat(s)]])=0,"",REVEX!$E$9)</f>
        <v/>
      </c>
      <c r="AI111" s="72" t="str">
        <f>IF(CCTSAS[[#This Row],[Allocation fonctions]]="","",IF(ISNA(VLOOKUP(CCTSAS[[#This Row],[Allocation fonctions]],DROPDOWN[Dropdown82],1,FALSE))=TRUE,"Veuillez utiliser les allocations parmis la liste déroulante.",""))</f>
        <v/>
      </c>
    </row>
    <row r="112" spans="1:35" x14ac:dyDescent="0.25">
      <c r="A112" s="72" t="str">
        <f>IF(CCTSAS[[#This Row],[Carrière]]="","",IF(ISNA(VLOOKUP(CCTSAS[[#This Row],[Carrière]],DROPDOWN[Dropdown9],1,FALSE))=TRUE,"Carrière: Utiliser la liste déroulante",""))</f>
        <v/>
      </c>
      <c r="B112" s="554" t="str">
        <f>IF(CCTSAS[[#This Row],[Matricule]]="","",MAX($B$7:B111)+1)</f>
        <v/>
      </c>
      <c r="C112" s="8"/>
      <c r="D112" s="8"/>
      <c r="E112" s="20"/>
      <c r="F112" s="63"/>
      <c r="G112" s="8"/>
      <c r="H112" s="8"/>
      <c r="I112" s="10"/>
      <c r="J112" s="10"/>
      <c r="K112" s="9"/>
      <c r="L112" s="9"/>
      <c r="M112" s="9"/>
      <c r="N11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2" s="660"/>
      <c r="P112" s="660"/>
      <c r="Q112" s="461"/>
      <c r="R112" s="381"/>
      <c r="S112" s="37"/>
      <c r="T112" s="37"/>
      <c r="U112" s="37"/>
      <c r="V112" s="37"/>
      <c r="W112" s="37"/>
      <c r="X112" s="37"/>
      <c r="Y11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2" s="37"/>
      <c r="AA112" s="662" t="str">
        <f>IF(COUNTA(CCTSAS[[#This Row],[Nom]:[heures annuelles
selon contrat(s)]])=0,"",CCTSAS[[#This Row],[Total global]]-ABS(CCTSAS[[#This Row],[Dont non opposable]]))</f>
        <v/>
      </c>
      <c r="AB112" s="8"/>
      <c r="AC112" s="63"/>
      <c r="AD112" s="428"/>
      <c r="AE112" s="428"/>
      <c r="AF112" s="428"/>
      <c r="AG112" s="43"/>
      <c r="AH112" s="183" t="str">
        <f>IF(COUNTA(CCTSAS[[#This Row],[Nom]:[heures annuelles
selon contrat(s)]])=0,"",REVEX!$E$9)</f>
        <v/>
      </c>
      <c r="AI112" s="72" t="str">
        <f>IF(CCTSAS[[#This Row],[Allocation fonctions]]="","",IF(ISNA(VLOOKUP(CCTSAS[[#This Row],[Allocation fonctions]],DROPDOWN[Dropdown82],1,FALSE))=TRUE,"Veuillez utiliser les allocations parmis la liste déroulante.",""))</f>
        <v/>
      </c>
    </row>
    <row r="113" spans="1:35" x14ac:dyDescent="0.25">
      <c r="A113" s="72" t="str">
        <f>IF(CCTSAS[[#This Row],[Carrière]]="","",IF(ISNA(VLOOKUP(CCTSAS[[#This Row],[Carrière]],DROPDOWN[Dropdown9],1,FALSE))=TRUE,"Carrière: Utiliser la liste déroulante",""))</f>
        <v/>
      </c>
      <c r="B113" s="554" t="str">
        <f>IF(CCTSAS[[#This Row],[Matricule]]="","",MAX($B$7:B112)+1)</f>
        <v/>
      </c>
      <c r="C113" s="8"/>
      <c r="D113" s="8"/>
      <c r="E113" s="20"/>
      <c r="F113" s="63"/>
      <c r="G113" s="8"/>
      <c r="H113" s="8"/>
      <c r="I113" s="10"/>
      <c r="J113" s="10"/>
      <c r="K113" s="9"/>
      <c r="L113" s="9"/>
      <c r="M113" s="9"/>
      <c r="N11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3" s="660"/>
      <c r="P113" s="660"/>
      <c r="Q113" s="461"/>
      <c r="R113" s="381"/>
      <c r="S113" s="37"/>
      <c r="T113" s="37"/>
      <c r="U113" s="37"/>
      <c r="V113" s="37"/>
      <c r="W113" s="37"/>
      <c r="X113" s="37"/>
      <c r="Y11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3" s="37"/>
      <c r="AA113" s="662" t="str">
        <f>IF(COUNTA(CCTSAS[[#This Row],[Nom]:[heures annuelles
selon contrat(s)]])=0,"",CCTSAS[[#This Row],[Total global]]-ABS(CCTSAS[[#This Row],[Dont non opposable]]))</f>
        <v/>
      </c>
      <c r="AB113" s="8"/>
      <c r="AC113" s="63"/>
      <c r="AD113" s="428"/>
      <c r="AE113" s="428"/>
      <c r="AF113" s="428"/>
      <c r="AG113" s="43"/>
      <c r="AH113" s="183" t="str">
        <f>IF(COUNTA(CCTSAS[[#This Row],[Nom]:[heures annuelles
selon contrat(s)]])=0,"",REVEX!$E$9)</f>
        <v/>
      </c>
      <c r="AI113" s="72" t="str">
        <f>IF(CCTSAS[[#This Row],[Allocation fonctions]]="","",IF(ISNA(VLOOKUP(CCTSAS[[#This Row],[Allocation fonctions]],DROPDOWN[Dropdown82],1,FALSE))=TRUE,"Veuillez utiliser les allocations parmis la liste déroulante.",""))</f>
        <v/>
      </c>
    </row>
    <row r="114" spans="1:35" x14ac:dyDescent="0.25">
      <c r="A114" s="72" t="str">
        <f>IF(CCTSAS[[#This Row],[Carrière]]="","",IF(ISNA(VLOOKUP(CCTSAS[[#This Row],[Carrière]],DROPDOWN[Dropdown9],1,FALSE))=TRUE,"Carrière: Utiliser la liste déroulante",""))</f>
        <v/>
      </c>
      <c r="B114" s="554" t="str">
        <f>IF(CCTSAS[[#This Row],[Matricule]]="","",MAX($B$7:B113)+1)</f>
        <v/>
      </c>
      <c r="C114" s="8"/>
      <c r="D114" s="8"/>
      <c r="E114" s="20"/>
      <c r="F114" s="63"/>
      <c r="G114" s="8"/>
      <c r="H114" s="8"/>
      <c r="I114" s="10"/>
      <c r="J114" s="10"/>
      <c r="K114" s="9"/>
      <c r="L114" s="9"/>
      <c r="M114" s="9"/>
      <c r="N11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4" s="660"/>
      <c r="P114" s="660"/>
      <c r="Q114" s="461"/>
      <c r="R114" s="381"/>
      <c r="S114" s="37"/>
      <c r="T114" s="37"/>
      <c r="U114" s="37"/>
      <c r="V114" s="37"/>
      <c r="W114" s="37"/>
      <c r="X114" s="37"/>
      <c r="Y11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4" s="37"/>
      <c r="AA114" s="662" t="str">
        <f>IF(COUNTA(CCTSAS[[#This Row],[Nom]:[heures annuelles
selon contrat(s)]])=0,"",CCTSAS[[#This Row],[Total global]]-ABS(CCTSAS[[#This Row],[Dont non opposable]]))</f>
        <v/>
      </c>
      <c r="AB114" s="8"/>
      <c r="AC114" s="63"/>
      <c r="AD114" s="428"/>
      <c r="AE114" s="428"/>
      <c r="AF114" s="428"/>
      <c r="AG114" s="43"/>
      <c r="AH114" s="183" t="str">
        <f>IF(COUNTA(CCTSAS[[#This Row],[Nom]:[heures annuelles
selon contrat(s)]])=0,"",REVEX!$E$9)</f>
        <v/>
      </c>
      <c r="AI114" s="72" t="str">
        <f>IF(CCTSAS[[#This Row],[Allocation fonctions]]="","",IF(ISNA(VLOOKUP(CCTSAS[[#This Row],[Allocation fonctions]],DROPDOWN[Dropdown82],1,FALSE))=TRUE,"Veuillez utiliser les allocations parmis la liste déroulante.",""))</f>
        <v/>
      </c>
    </row>
    <row r="115" spans="1:35" x14ac:dyDescent="0.25">
      <c r="A115" s="72" t="str">
        <f>IF(CCTSAS[[#This Row],[Carrière]]="","",IF(ISNA(VLOOKUP(CCTSAS[[#This Row],[Carrière]],DROPDOWN[Dropdown9],1,FALSE))=TRUE,"Carrière: Utiliser la liste déroulante",""))</f>
        <v/>
      </c>
      <c r="B115" s="554" t="str">
        <f>IF(CCTSAS[[#This Row],[Matricule]]="","",MAX($B$7:B114)+1)</f>
        <v/>
      </c>
      <c r="C115" s="8"/>
      <c r="D115" s="8"/>
      <c r="E115" s="20"/>
      <c r="F115" s="63"/>
      <c r="G115" s="8"/>
      <c r="H115" s="8"/>
      <c r="I115" s="10"/>
      <c r="J115" s="10"/>
      <c r="K115" s="9"/>
      <c r="L115" s="9"/>
      <c r="M115" s="9"/>
      <c r="N11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5" s="660"/>
      <c r="P115" s="660"/>
      <c r="Q115" s="461"/>
      <c r="R115" s="381"/>
      <c r="S115" s="37"/>
      <c r="T115" s="37"/>
      <c r="U115" s="37"/>
      <c r="V115" s="37"/>
      <c r="W115" s="37"/>
      <c r="X115" s="37"/>
      <c r="Y11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5" s="37"/>
      <c r="AA115" s="662" t="str">
        <f>IF(COUNTA(CCTSAS[[#This Row],[Nom]:[heures annuelles
selon contrat(s)]])=0,"",CCTSAS[[#This Row],[Total global]]-ABS(CCTSAS[[#This Row],[Dont non opposable]]))</f>
        <v/>
      </c>
      <c r="AB115" s="8"/>
      <c r="AC115" s="63"/>
      <c r="AD115" s="428"/>
      <c r="AE115" s="428"/>
      <c r="AF115" s="428"/>
      <c r="AG115" s="43"/>
      <c r="AH115" s="183" t="str">
        <f>IF(COUNTA(CCTSAS[[#This Row],[Nom]:[heures annuelles
selon contrat(s)]])=0,"",REVEX!$E$9)</f>
        <v/>
      </c>
      <c r="AI115" s="72" t="str">
        <f>IF(CCTSAS[[#This Row],[Allocation fonctions]]="","",IF(ISNA(VLOOKUP(CCTSAS[[#This Row],[Allocation fonctions]],DROPDOWN[Dropdown82],1,FALSE))=TRUE,"Veuillez utiliser les allocations parmis la liste déroulante.",""))</f>
        <v/>
      </c>
    </row>
    <row r="116" spans="1:35" x14ac:dyDescent="0.25">
      <c r="A116" s="72" t="str">
        <f>IF(CCTSAS[[#This Row],[Carrière]]="","",IF(ISNA(VLOOKUP(CCTSAS[[#This Row],[Carrière]],DROPDOWN[Dropdown9],1,FALSE))=TRUE,"Carrière: Utiliser la liste déroulante",""))</f>
        <v/>
      </c>
      <c r="B116" s="554" t="str">
        <f>IF(CCTSAS[[#This Row],[Matricule]]="","",MAX($B$7:B115)+1)</f>
        <v/>
      </c>
      <c r="C116" s="8"/>
      <c r="D116" s="8"/>
      <c r="E116" s="20"/>
      <c r="F116" s="63"/>
      <c r="G116" s="8"/>
      <c r="H116" s="8"/>
      <c r="I116" s="10"/>
      <c r="J116" s="10"/>
      <c r="K116" s="9"/>
      <c r="L116" s="9"/>
      <c r="M116" s="9"/>
      <c r="N11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6" s="660"/>
      <c r="P116" s="660"/>
      <c r="Q116" s="461"/>
      <c r="R116" s="381"/>
      <c r="S116" s="37"/>
      <c r="T116" s="37"/>
      <c r="U116" s="37"/>
      <c r="V116" s="37"/>
      <c r="W116" s="37"/>
      <c r="X116" s="37"/>
      <c r="Y11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6" s="37"/>
      <c r="AA116" s="662" t="str">
        <f>IF(COUNTA(CCTSAS[[#This Row],[Nom]:[heures annuelles
selon contrat(s)]])=0,"",CCTSAS[[#This Row],[Total global]]-ABS(CCTSAS[[#This Row],[Dont non opposable]]))</f>
        <v/>
      </c>
      <c r="AB116" s="8"/>
      <c r="AC116" s="63"/>
      <c r="AD116" s="428"/>
      <c r="AE116" s="428"/>
      <c r="AF116" s="428"/>
      <c r="AG116" s="43"/>
      <c r="AH116" s="183" t="str">
        <f>IF(COUNTA(CCTSAS[[#This Row],[Nom]:[heures annuelles
selon contrat(s)]])=0,"",REVEX!$E$9)</f>
        <v/>
      </c>
      <c r="AI116" s="72" t="str">
        <f>IF(CCTSAS[[#This Row],[Allocation fonctions]]="","",IF(ISNA(VLOOKUP(CCTSAS[[#This Row],[Allocation fonctions]],DROPDOWN[Dropdown82],1,FALSE))=TRUE,"Veuillez utiliser les allocations parmis la liste déroulante.",""))</f>
        <v/>
      </c>
    </row>
    <row r="117" spans="1:35" x14ac:dyDescent="0.25">
      <c r="A117" s="72" t="str">
        <f>IF(CCTSAS[[#This Row],[Carrière]]="","",IF(ISNA(VLOOKUP(CCTSAS[[#This Row],[Carrière]],DROPDOWN[Dropdown9],1,FALSE))=TRUE,"Carrière: Utiliser la liste déroulante",""))</f>
        <v/>
      </c>
      <c r="B117" s="554" t="str">
        <f>IF(CCTSAS[[#This Row],[Matricule]]="","",MAX($B$7:B116)+1)</f>
        <v/>
      </c>
      <c r="C117" s="8"/>
      <c r="D117" s="8"/>
      <c r="E117" s="20"/>
      <c r="F117" s="63"/>
      <c r="G117" s="8"/>
      <c r="H117" s="8"/>
      <c r="I117" s="10"/>
      <c r="J117" s="10"/>
      <c r="K117" s="9"/>
      <c r="L117" s="9"/>
      <c r="M117" s="9"/>
      <c r="N11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7" s="660"/>
      <c r="P117" s="660"/>
      <c r="Q117" s="461"/>
      <c r="R117" s="381"/>
      <c r="S117" s="37"/>
      <c r="T117" s="37"/>
      <c r="U117" s="37"/>
      <c r="V117" s="37"/>
      <c r="W117" s="37"/>
      <c r="X117" s="37"/>
      <c r="Y11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7" s="37"/>
      <c r="AA117" s="662" t="str">
        <f>IF(COUNTA(CCTSAS[[#This Row],[Nom]:[heures annuelles
selon contrat(s)]])=0,"",CCTSAS[[#This Row],[Total global]]-ABS(CCTSAS[[#This Row],[Dont non opposable]]))</f>
        <v/>
      </c>
      <c r="AB117" s="8"/>
      <c r="AC117" s="63"/>
      <c r="AD117" s="428"/>
      <c r="AE117" s="428"/>
      <c r="AF117" s="428"/>
      <c r="AG117" s="43"/>
      <c r="AH117" s="183" t="str">
        <f>IF(COUNTA(CCTSAS[[#This Row],[Nom]:[heures annuelles
selon contrat(s)]])=0,"",REVEX!$E$9)</f>
        <v/>
      </c>
      <c r="AI117" s="72" t="str">
        <f>IF(CCTSAS[[#This Row],[Allocation fonctions]]="","",IF(ISNA(VLOOKUP(CCTSAS[[#This Row],[Allocation fonctions]],DROPDOWN[Dropdown82],1,FALSE))=TRUE,"Veuillez utiliser les allocations parmis la liste déroulante.",""))</f>
        <v/>
      </c>
    </row>
    <row r="118" spans="1:35" x14ac:dyDescent="0.25">
      <c r="A118" s="72" t="str">
        <f>IF(CCTSAS[[#This Row],[Carrière]]="","",IF(ISNA(VLOOKUP(CCTSAS[[#This Row],[Carrière]],DROPDOWN[Dropdown9],1,FALSE))=TRUE,"Carrière: Utiliser la liste déroulante",""))</f>
        <v/>
      </c>
      <c r="B118" s="554" t="str">
        <f>IF(CCTSAS[[#This Row],[Matricule]]="","",MAX($B$7:B117)+1)</f>
        <v/>
      </c>
      <c r="C118" s="8"/>
      <c r="D118" s="8"/>
      <c r="E118" s="20"/>
      <c r="F118" s="63"/>
      <c r="G118" s="8"/>
      <c r="H118" s="8"/>
      <c r="I118" s="10"/>
      <c r="J118" s="10"/>
      <c r="K118" s="9"/>
      <c r="L118" s="9"/>
      <c r="M118" s="9"/>
      <c r="N11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8" s="660"/>
      <c r="P118" s="660"/>
      <c r="Q118" s="461"/>
      <c r="R118" s="381"/>
      <c r="S118" s="37"/>
      <c r="T118" s="37"/>
      <c r="U118" s="37"/>
      <c r="V118" s="37"/>
      <c r="W118" s="37"/>
      <c r="X118" s="37"/>
      <c r="Y11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8" s="37"/>
      <c r="AA118" s="662" t="str">
        <f>IF(COUNTA(CCTSAS[[#This Row],[Nom]:[heures annuelles
selon contrat(s)]])=0,"",CCTSAS[[#This Row],[Total global]]-ABS(CCTSAS[[#This Row],[Dont non opposable]]))</f>
        <v/>
      </c>
      <c r="AB118" s="8"/>
      <c r="AC118" s="63"/>
      <c r="AD118" s="428"/>
      <c r="AE118" s="428"/>
      <c r="AF118" s="428"/>
      <c r="AG118" s="43"/>
      <c r="AH118" s="183" t="str">
        <f>IF(COUNTA(CCTSAS[[#This Row],[Nom]:[heures annuelles
selon contrat(s)]])=0,"",REVEX!$E$9)</f>
        <v/>
      </c>
      <c r="AI118" s="72" t="str">
        <f>IF(CCTSAS[[#This Row],[Allocation fonctions]]="","",IF(ISNA(VLOOKUP(CCTSAS[[#This Row],[Allocation fonctions]],DROPDOWN[Dropdown82],1,FALSE))=TRUE,"Veuillez utiliser les allocations parmis la liste déroulante.",""))</f>
        <v/>
      </c>
    </row>
    <row r="119" spans="1:35" x14ac:dyDescent="0.25">
      <c r="A119" s="72" t="str">
        <f>IF(CCTSAS[[#This Row],[Carrière]]="","",IF(ISNA(VLOOKUP(CCTSAS[[#This Row],[Carrière]],DROPDOWN[Dropdown9],1,FALSE))=TRUE,"Carrière: Utiliser la liste déroulante",""))</f>
        <v/>
      </c>
      <c r="B119" s="554" t="str">
        <f>IF(CCTSAS[[#This Row],[Matricule]]="","",MAX($B$7:B118)+1)</f>
        <v/>
      </c>
      <c r="C119" s="8"/>
      <c r="D119" s="8"/>
      <c r="E119" s="20"/>
      <c r="F119" s="63"/>
      <c r="G119" s="8"/>
      <c r="H119" s="8"/>
      <c r="I119" s="10"/>
      <c r="J119" s="10"/>
      <c r="K119" s="9"/>
      <c r="L119" s="9"/>
      <c r="M119" s="9"/>
      <c r="N11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19" s="660"/>
      <c r="P119" s="660"/>
      <c r="Q119" s="461"/>
      <c r="R119" s="381"/>
      <c r="S119" s="37"/>
      <c r="T119" s="37"/>
      <c r="U119" s="37"/>
      <c r="V119" s="37"/>
      <c r="W119" s="37"/>
      <c r="X119" s="37"/>
      <c r="Y11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19" s="37"/>
      <c r="AA119" s="662" t="str">
        <f>IF(COUNTA(CCTSAS[[#This Row],[Nom]:[heures annuelles
selon contrat(s)]])=0,"",CCTSAS[[#This Row],[Total global]]-ABS(CCTSAS[[#This Row],[Dont non opposable]]))</f>
        <v/>
      </c>
      <c r="AB119" s="8"/>
      <c r="AC119" s="63"/>
      <c r="AD119" s="428"/>
      <c r="AE119" s="428"/>
      <c r="AF119" s="428"/>
      <c r="AG119" s="43"/>
      <c r="AH119" s="183" t="str">
        <f>IF(COUNTA(CCTSAS[[#This Row],[Nom]:[heures annuelles
selon contrat(s)]])=0,"",REVEX!$E$9)</f>
        <v/>
      </c>
      <c r="AI119" s="72" t="str">
        <f>IF(CCTSAS[[#This Row],[Allocation fonctions]]="","",IF(ISNA(VLOOKUP(CCTSAS[[#This Row],[Allocation fonctions]],DROPDOWN[Dropdown82],1,FALSE))=TRUE,"Veuillez utiliser les allocations parmis la liste déroulante.",""))</f>
        <v/>
      </c>
    </row>
    <row r="120" spans="1:35" x14ac:dyDescent="0.25">
      <c r="A120" s="72" t="str">
        <f>IF(CCTSAS[[#This Row],[Carrière]]="","",IF(ISNA(VLOOKUP(CCTSAS[[#This Row],[Carrière]],DROPDOWN[Dropdown9],1,FALSE))=TRUE,"Carrière: Utiliser la liste déroulante",""))</f>
        <v/>
      </c>
      <c r="B120" s="554" t="str">
        <f>IF(CCTSAS[[#This Row],[Matricule]]="","",MAX($B$7:B119)+1)</f>
        <v/>
      </c>
      <c r="C120" s="8"/>
      <c r="D120" s="8"/>
      <c r="E120" s="20"/>
      <c r="F120" s="63"/>
      <c r="G120" s="8"/>
      <c r="H120" s="8"/>
      <c r="I120" s="10"/>
      <c r="J120" s="10"/>
      <c r="K120" s="9"/>
      <c r="L120" s="9"/>
      <c r="M120" s="9"/>
      <c r="N12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0" s="660"/>
      <c r="P120" s="660"/>
      <c r="Q120" s="461"/>
      <c r="R120" s="381"/>
      <c r="S120" s="37"/>
      <c r="T120" s="37"/>
      <c r="U120" s="37"/>
      <c r="V120" s="37"/>
      <c r="W120" s="37"/>
      <c r="X120" s="37"/>
      <c r="Y12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0" s="37"/>
      <c r="AA120" s="662" t="str">
        <f>IF(COUNTA(CCTSAS[[#This Row],[Nom]:[heures annuelles
selon contrat(s)]])=0,"",CCTSAS[[#This Row],[Total global]]-ABS(CCTSAS[[#This Row],[Dont non opposable]]))</f>
        <v/>
      </c>
      <c r="AB120" s="8"/>
      <c r="AC120" s="63"/>
      <c r="AD120" s="428"/>
      <c r="AE120" s="428"/>
      <c r="AF120" s="428"/>
      <c r="AG120" s="43"/>
      <c r="AH120" s="183" t="str">
        <f>IF(COUNTA(CCTSAS[[#This Row],[Nom]:[heures annuelles
selon contrat(s)]])=0,"",REVEX!$E$9)</f>
        <v/>
      </c>
      <c r="AI120" s="72" t="str">
        <f>IF(CCTSAS[[#This Row],[Allocation fonctions]]="","",IF(ISNA(VLOOKUP(CCTSAS[[#This Row],[Allocation fonctions]],DROPDOWN[Dropdown82],1,FALSE))=TRUE,"Veuillez utiliser les allocations parmis la liste déroulante.",""))</f>
        <v/>
      </c>
    </row>
    <row r="121" spans="1:35" x14ac:dyDescent="0.25">
      <c r="A121" s="72" t="str">
        <f>IF(CCTSAS[[#This Row],[Carrière]]="","",IF(ISNA(VLOOKUP(CCTSAS[[#This Row],[Carrière]],DROPDOWN[Dropdown9],1,FALSE))=TRUE,"Carrière: Utiliser la liste déroulante",""))</f>
        <v/>
      </c>
      <c r="B121" s="554" t="str">
        <f>IF(CCTSAS[[#This Row],[Matricule]]="","",MAX($B$7:B120)+1)</f>
        <v/>
      </c>
      <c r="C121" s="8"/>
      <c r="D121" s="8"/>
      <c r="E121" s="20"/>
      <c r="F121" s="63"/>
      <c r="G121" s="8"/>
      <c r="H121" s="8"/>
      <c r="I121" s="10"/>
      <c r="J121" s="10"/>
      <c r="K121" s="9"/>
      <c r="L121" s="9"/>
      <c r="M121" s="9"/>
      <c r="N12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1" s="660"/>
      <c r="P121" s="660"/>
      <c r="Q121" s="461"/>
      <c r="R121" s="381"/>
      <c r="S121" s="37"/>
      <c r="T121" s="37"/>
      <c r="U121" s="37"/>
      <c r="V121" s="37"/>
      <c r="W121" s="37"/>
      <c r="X121" s="37"/>
      <c r="Y12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1" s="37"/>
      <c r="AA121" s="662" t="str">
        <f>IF(COUNTA(CCTSAS[[#This Row],[Nom]:[heures annuelles
selon contrat(s)]])=0,"",CCTSAS[[#This Row],[Total global]]-ABS(CCTSAS[[#This Row],[Dont non opposable]]))</f>
        <v/>
      </c>
      <c r="AB121" s="8"/>
      <c r="AC121" s="63"/>
      <c r="AD121" s="428"/>
      <c r="AE121" s="428"/>
      <c r="AF121" s="428"/>
      <c r="AG121" s="43"/>
      <c r="AH121" s="183" t="str">
        <f>IF(COUNTA(CCTSAS[[#This Row],[Nom]:[heures annuelles
selon contrat(s)]])=0,"",REVEX!$E$9)</f>
        <v/>
      </c>
      <c r="AI121" s="72" t="str">
        <f>IF(CCTSAS[[#This Row],[Allocation fonctions]]="","",IF(ISNA(VLOOKUP(CCTSAS[[#This Row],[Allocation fonctions]],DROPDOWN[Dropdown82],1,FALSE))=TRUE,"Veuillez utiliser les allocations parmis la liste déroulante.",""))</f>
        <v/>
      </c>
    </row>
    <row r="122" spans="1:35" x14ac:dyDescent="0.25">
      <c r="A122" s="72" t="str">
        <f>IF(CCTSAS[[#This Row],[Carrière]]="","",IF(ISNA(VLOOKUP(CCTSAS[[#This Row],[Carrière]],DROPDOWN[Dropdown9],1,FALSE))=TRUE,"Carrière: Utiliser la liste déroulante",""))</f>
        <v/>
      </c>
      <c r="B122" s="554" t="str">
        <f>IF(CCTSAS[[#This Row],[Matricule]]="","",MAX($B$7:B121)+1)</f>
        <v/>
      </c>
      <c r="C122" s="8"/>
      <c r="D122" s="8"/>
      <c r="E122" s="20"/>
      <c r="F122" s="63"/>
      <c r="G122" s="8"/>
      <c r="H122" s="8"/>
      <c r="I122" s="10"/>
      <c r="J122" s="10"/>
      <c r="K122" s="9"/>
      <c r="L122" s="9"/>
      <c r="M122" s="9"/>
      <c r="N12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2" s="660"/>
      <c r="P122" s="660"/>
      <c r="Q122" s="461"/>
      <c r="R122" s="381"/>
      <c r="S122" s="37"/>
      <c r="T122" s="37"/>
      <c r="U122" s="37"/>
      <c r="V122" s="37"/>
      <c r="W122" s="37"/>
      <c r="X122" s="37"/>
      <c r="Y12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2" s="37"/>
      <c r="AA122" s="662" t="str">
        <f>IF(COUNTA(CCTSAS[[#This Row],[Nom]:[heures annuelles
selon contrat(s)]])=0,"",CCTSAS[[#This Row],[Total global]]-ABS(CCTSAS[[#This Row],[Dont non opposable]]))</f>
        <v/>
      </c>
      <c r="AB122" s="8"/>
      <c r="AC122" s="63"/>
      <c r="AD122" s="428"/>
      <c r="AE122" s="428"/>
      <c r="AF122" s="428"/>
      <c r="AG122" s="43"/>
      <c r="AH122" s="183" t="str">
        <f>IF(COUNTA(CCTSAS[[#This Row],[Nom]:[heures annuelles
selon contrat(s)]])=0,"",REVEX!$E$9)</f>
        <v/>
      </c>
      <c r="AI122" s="72" t="str">
        <f>IF(CCTSAS[[#This Row],[Allocation fonctions]]="","",IF(ISNA(VLOOKUP(CCTSAS[[#This Row],[Allocation fonctions]],DROPDOWN[Dropdown82],1,FALSE))=TRUE,"Veuillez utiliser les allocations parmis la liste déroulante.",""))</f>
        <v/>
      </c>
    </row>
    <row r="123" spans="1:35" x14ac:dyDescent="0.25">
      <c r="A123" s="72" t="str">
        <f>IF(CCTSAS[[#This Row],[Carrière]]="","",IF(ISNA(VLOOKUP(CCTSAS[[#This Row],[Carrière]],DROPDOWN[Dropdown9],1,FALSE))=TRUE,"Carrière: Utiliser la liste déroulante",""))</f>
        <v/>
      </c>
      <c r="B123" s="554" t="str">
        <f>IF(CCTSAS[[#This Row],[Matricule]]="","",MAX($B$7:B122)+1)</f>
        <v/>
      </c>
      <c r="C123" s="8"/>
      <c r="D123" s="8"/>
      <c r="E123" s="20"/>
      <c r="F123" s="63"/>
      <c r="G123" s="8"/>
      <c r="H123" s="8"/>
      <c r="I123" s="10"/>
      <c r="J123" s="10"/>
      <c r="K123" s="9"/>
      <c r="L123" s="9"/>
      <c r="M123" s="9"/>
      <c r="N12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3" s="660"/>
      <c r="P123" s="660"/>
      <c r="Q123" s="461"/>
      <c r="R123" s="381"/>
      <c r="S123" s="37"/>
      <c r="T123" s="37"/>
      <c r="U123" s="37"/>
      <c r="V123" s="37"/>
      <c r="W123" s="37"/>
      <c r="X123" s="37"/>
      <c r="Y12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3" s="37"/>
      <c r="AA123" s="662" t="str">
        <f>IF(COUNTA(CCTSAS[[#This Row],[Nom]:[heures annuelles
selon contrat(s)]])=0,"",CCTSAS[[#This Row],[Total global]]-ABS(CCTSAS[[#This Row],[Dont non opposable]]))</f>
        <v/>
      </c>
      <c r="AB123" s="8"/>
      <c r="AC123" s="63"/>
      <c r="AD123" s="428"/>
      <c r="AE123" s="428"/>
      <c r="AF123" s="428"/>
      <c r="AG123" s="43"/>
      <c r="AH123" s="183" t="str">
        <f>IF(COUNTA(CCTSAS[[#This Row],[Nom]:[heures annuelles
selon contrat(s)]])=0,"",REVEX!$E$9)</f>
        <v/>
      </c>
      <c r="AI123" s="72" t="str">
        <f>IF(CCTSAS[[#This Row],[Allocation fonctions]]="","",IF(ISNA(VLOOKUP(CCTSAS[[#This Row],[Allocation fonctions]],DROPDOWN[Dropdown82],1,FALSE))=TRUE,"Veuillez utiliser les allocations parmis la liste déroulante.",""))</f>
        <v/>
      </c>
    </row>
    <row r="124" spans="1:35" x14ac:dyDescent="0.25">
      <c r="A124" s="72" t="str">
        <f>IF(CCTSAS[[#This Row],[Carrière]]="","",IF(ISNA(VLOOKUP(CCTSAS[[#This Row],[Carrière]],DROPDOWN[Dropdown9],1,FALSE))=TRUE,"Carrière: Utiliser la liste déroulante",""))</f>
        <v/>
      </c>
      <c r="B124" s="554" t="str">
        <f>IF(CCTSAS[[#This Row],[Matricule]]="","",MAX($B$7:B123)+1)</f>
        <v/>
      </c>
      <c r="C124" s="8"/>
      <c r="D124" s="8"/>
      <c r="E124" s="20"/>
      <c r="F124" s="63"/>
      <c r="G124" s="8"/>
      <c r="H124" s="8"/>
      <c r="I124" s="10"/>
      <c r="J124" s="10"/>
      <c r="K124" s="9"/>
      <c r="L124" s="9"/>
      <c r="M124" s="9"/>
      <c r="N12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4" s="660"/>
      <c r="P124" s="660"/>
      <c r="Q124" s="461"/>
      <c r="R124" s="381"/>
      <c r="S124" s="37"/>
      <c r="T124" s="37"/>
      <c r="U124" s="37"/>
      <c r="V124" s="37"/>
      <c r="W124" s="37"/>
      <c r="X124" s="37"/>
      <c r="Y12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4" s="37"/>
      <c r="AA124" s="662" t="str">
        <f>IF(COUNTA(CCTSAS[[#This Row],[Nom]:[heures annuelles
selon contrat(s)]])=0,"",CCTSAS[[#This Row],[Total global]]-ABS(CCTSAS[[#This Row],[Dont non opposable]]))</f>
        <v/>
      </c>
      <c r="AB124" s="8"/>
      <c r="AC124" s="63"/>
      <c r="AD124" s="428"/>
      <c r="AE124" s="428"/>
      <c r="AF124" s="428"/>
      <c r="AG124" s="43"/>
      <c r="AH124" s="183" t="str">
        <f>IF(COUNTA(CCTSAS[[#This Row],[Nom]:[heures annuelles
selon contrat(s)]])=0,"",REVEX!$E$9)</f>
        <v/>
      </c>
      <c r="AI124" s="72" t="str">
        <f>IF(CCTSAS[[#This Row],[Allocation fonctions]]="","",IF(ISNA(VLOOKUP(CCTSAS[[#This Row],[Allocation fonctions]],DROPDOWN[Dropdown82],1,FALSE))=TRUE,"Veuillez utiliser les allocations parmis la liste déroulante.",""))</f>
        <v/>
      </c>
    </row>
    <row r="125" spans="1:35" x14ac:dyDescent="0.25">
      <c r="A125" s="72" t="str">
        <f>IF(CCTSAS[[#This Row],[Carrière]]="","",IF(ISNA(VLOOKUP(CCTSAS[[#This Row],[Carrière]],DROPDOWN[Dropdown9],1,FALSE))=TRUE,"Carrière: Utiliser la liste déroulante",""))</f>
        <v/>
      </c>
      <c r="B125" s="554" t="str">
        <f>IF(CCTSAS[[#This Row],[Matricule]]="","",MAX($B$7:B124)+1)</f>
        <v/>
      </c>
      <c r="C125" s="8"/>
      <c r="D125" s="8"/>
      <c r="E125" s="20"/>
      <c r="F125" s="63"/>
      <c r="G125" s="8"/>
      <c r="H125" s="8"/>
      <c r="I125" s="10"/>
      <c r="J125" s="10"/>
      <c r="K125" s="9"/>
      <c r="L125" s="9"/>
      <c r="M125" s="9"/>
      <c r="N12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5" s="660"/>
      <c r="P125" s="660"/>
      <c r="Q125" s="461"/>
      <c r="R125" s="381"/>
      <c r="S125" s="37"/>
      <c r="T125" s="37"/>
      <c r="U125" s="37"/>
      <c r="V125" s="37"/>
      <c r="W125" s="37"/>
      <c r="X125" s="37"/>
      <c r="Y12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5" s="37"/>
      <c r="AA125" s="662" t="str">
        <f>IF(COUNTA(CCTSAS[[#This Row],[Nom]:[heures annuelles
selon contrat(s)]])=0,"",CCTSAS[[#This Row],[Total global]]-ABS(CCTSAS[[#This Row],[Dont non opposable]]))</f>
        <v/>
      </c>
      <c r="AB125" s="8"/>
      <c r="AC125" s="63"/>
      <c r="AD125" s="428"/>
      <c r="AE125" s="428"/>
      <c r="AF125" s="428"/>
      <c r="AG125" s="43"/>
      <c r="AH125" s="183" t="str">
        <f>IF(COUNTA(CCTSAS[[#This Row],[Nom]:[heures annuelles
selon contrat(s)]])=0,"",REVEX!$E$9)</f>
        <v/>
      </c>
      <c r="AI125" s="72" t="str">
        <f>IF(CCTSAS[[#This Row],[Allocation fonctions]]="","",IF(ISNA(VLOOKUP(CCTSAS[[#This Row],[Allocation fonctions]],DROPDOWN[Dropdown82],1,FALSE))=TRUE,"Veuillez utiliser les allocations parmis la liste déroulante.",""))</f>
        <v/>
      </c>
    </row>
    <row r="126" spans="1:35" x14ac:dyDescent="0.25">
      <c r="A126" s="72" t="str">
        <f>IF(CCTSAS[[#This Row],[Carrière]]="","",IF(ISNA(VLOOKUP(CCTSAS[[#This Row],[Carrière]],DROPDOWN[Dropdown9],1,FALSE))=TRUE,"Carrière: Utiliser la liste déroulante",""))</f>
        <v/>
      </c>
      <c r="B126" s="554" t="str">
        <f>IF(CCTSAS[[#This Row],[Matricule]]="","",MAX($B$7:B125)+1)</f>
        <v/>
      </c>
      <c r="C126" s="8"/>
      <c r="D126" s="8"/>
      <c r="E126" s="20"/>
      <c r="F126" s="63"/>
      <c r="G126" s="8"/>
      <c r="H126" s="8"/>
      <c r="I126" s="10"/>
      <c r="J126" s="10"/>
      <c r="K126" s="9"/>
      <c r="L126" s="9"/>
      <c r="M126" s="9"/>
      <c r="N12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6" s="660"/>
      <c r="P126" s="660"/>
      <c r="Q126" s="461"/>
      <c r="R126" s="381"/>
      <c r="S126" s="37"/>
      <c r="T126" s="37"/>
      <c r="U126" s="37"/>
      <c r="V126" s="37"/>
      <c r="W126" s="37"/>
      <c r="X126" s="37"/>
      <c r="Y12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6" s="37"/>
      <c r="AA126" s="662" t="str">
        <f>IF(COUNTA(CCTSAS[[#This Row],[Nom]:[heures annuelles
selon contrat(s)]])=0,"",CCTSAS[[#This Row],[Total global]]-ABS(CCTSAS[[#This Row],[Dont non opposable]]))</f>
        <v/>
      </c>
      <c r="AB126" s="8"/>
      <c r="AC126" s="63"/>
      <c r="AD126" s="428"/>
      <c r="AE126" s="428"/>
      <c r="AF126" s="428"/>
      <c r="AG126" s="43"/>
      <c r="AH126" s="183" t="str">
        <f>IF(COUNTA(CCTSAS[[#This Row],[Nom]:[heures annuelles
selon contrat(s)]])=0,"",REVEX!$E$9)</f>
        <v/>
      </c>
      <c r="AI126" s="72" t="str">
        <f>IF(CCTSAS[[#This Row],[Allocation fonctions]]="","",IF(ISNA(VLOOKUP(CCTSAS[[#This Row],[Allocation fonctions]],DROPDOWN[Dropdown82],1,FALSE))=TRUE,"Veuillez utiliser les allocations parmis la liste déroulante.",""))</f>
        <v/>
      </c>
    </row>
    <row r="127" spans="1:35" x14ac:dyDescent="0.25">
      <c r="A127" s="72" t="str">
        <f>IF(CCTSAS[[#This Row],[Carrière]]="","",IF(ISNA(VLOOKUP(CCTSAS[[#This Row],[Carrière]],DROPDOWN[Dropdown9],1,FALSE))=TRUE,"Carrière: Utiliser la liste déroulante",""))</f>
        <v/>
      </c>
      <c r="B127" s="554" t="str">
        <f>IF(CCTSAS[[#This Row],[Matricule]]="","",MAX($B$7:B126)+1)</f>
        <v/>
      </c>
      <c r="C127" s="8"/>
      <c r="D127" s="8"/>
      <c r="E127" s="20"/>
      <c r="F127" s="63"/>
      <c r="G127" s="8"/>
      <c r="H127" s="8"/>
      <c r="I127" s="10"/>
      <c r="J127" s="10"/>
      <c r="K127" s="9"/>
      <c r="L127" s="9"/>
      <c r="M127" s="9"/>
      <c r="N12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7" s="660"/>
      <c r="P127" s="660"/>
      <c r="Q127" s="461"/>
      <c r="R127" s="381"/>
      <c r="S127" s="37"/>
      <c r="T127" s="37"/>
      <c r="U127" s="37"/>
      <c r="V127" s="37"/>
      <c r="W127" s="37"/>
      <c r="X127" s="37"/>
      <c r="Y12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7" s="37"/>
      <c r="AA127" s="662" t="str">
        <f>IF(COUNTA(CCTSAS[[#This Row],[Nom]:[heures annuelles
selon contrat(s)]])=0,"",CCTSAS[[#This Row],[Total global]]-ABS(CCTSAS[[#This Row],[Dont non opposable]]))</f>
        <v/>
      </c>
      <c r="AB127" s="8"/>
      <c r="AC127" s="63"/>
      <c r="AD127" s="428"/>
      <c r="AE127" s="428"/>
      <c r="AF127" s="428"/>
      <c r="AG127" s="43"/>
      <c r="AH127" s="183" t="str">
        <f>IF(COUNTA(CCTSAS[[#This Row],[Nom]:[heures annuelles
selon contrat(s)]])=0,"",REVEX!$E$9)</f>
        <v/>
      </c>
      <c r="AI127" s="72" t="str">
        <f>IF(CCTSAS[[#This Row],[Allocation fonctions]]="","",IF(ISNA(VLOOKUP(CCTSAS[[#This Row],[Allocation fonctions]],DROPDOWN[Dropdown82],1,FALSE))=TRUE,"Veuillez utiliser les allocations parmis la liste déroulante.",""))</f>
        <v/>
      </c>
    </row>
    <row r="128" spans="1:35" x14ac:dyDescent="0.25">
      <c r="A128" s="72" t="str">
        <f>IF(CCTSAS[[#This Row],[Carrière]]="","",IF(ISNA(VLOOKUP(CCTSAS[[#This Row],[Carrière]],DROPDOWN[Dropdown9],1,FALSE))=TRUE,"Carrière: Utiliser la liste déroulante",""))</f>
        <v/>
      </c>
      <c r="B128" s="554" t="str">
        <f>IF(CCTSAS[[#This Row],[Matricule]]="","",MAX($B$7:B127)+1)</f>
        <v/>
      </c>
      <c r="C128" s="8"/>
      <c r="D128" s="8"/>
      <c r="E128" s="20"/>
      <c r="F128" s="63"/>
      <c r="G128" s="8"/>
      <c r="H128" s="8"/>
      <c r="I128" s="10"/>
      <c r="J128" s="10"/>
      <c r="K128" s="9"/>
      <c r="L128" s="9"/>
      <c r="M128" s="9"/>
      <c r="N12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8" s="660"/>
      <c r="P128" s="660"/>
      <c r="Q128" s="461"/>
      <c r="R128" s="381"/>
      <c r="S128" s="37"/>
      <c r="T128" s="37"/>
      <c r="U128" s="37"/>
      <c r="V128" s="37"/>
      <c r="W128" s="37"/>
      <c r="X128" s="37"/>
      <c r="Y12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8" s="37"/>
      <c r="AA128" s="662" t="str">
        <f>IF(COUNTA(CCTSAS[[#This Row],[Nom]:[heures annuelles
selon contrat(s)]])=0,"",CCTSAS[[#This Row],[Total global]]-ABS(CCTSAS[[#This Row],[Dont non opposable]]))</f>
        <v/>
      </c>
      <c r="AB128" s="8"/>
      <c r="AC128" s="63"/>
      <c r="AD128" s="428"/>
      <c r="AE128" s="428"/>
      <c r="AF128" s="428"/>
      <c r="AG128" s="43"/>
      <c r="AH128" s="183" t="str">
        <f>IF(COUNTA(CCTSAS[[#This Row],[Nom]:[heures annuelles
selon contrat(s)]])=0,"",REVEX!$E$9)</f>
        <v/>
      </c>
      <c r="AI128" s="72" t="str">
        <f>IF(CCTSAS[[#This Row],[Allocation fonctions]]="","",IF(ISNA(VLOOKUP(CCTSAS[[#This Row],[Allocation fonctions]],DROPDOWN[Dropdown82],1,FALSE))=TRUE,"Veuillez utiliser les allocations parmis la liste déroulante.",""))</f>
        <v/>
      </c>
    </row>
    <row r="129" spans="1:35" x14ac:dyDescent="0.25">
      <c r="A129" s="72" t="str">
        <f>IF(CCTSAS[[#This Row],[Carrière]]="","",IF(ISNA(VLOOKUP(CCTSAS[[#This Row],[Carrière]],DROPDOWN[Dropdown9],1,FALSE))=TRUE,"Carrière: Utiliser la liste déroulante",""))</f>
        <v/>
      </c>
      <c r="B129" s="554" t="str">
        <f>IF(CCTSAS[[#This Row],[Matricule]]="","",MAX($B$7:B128)+1)</f>
        <v/>
      </c>
      <c r="C129" s="8"/>
      <c r="D129" s="8"/>
      <c r="E129" s="20"/>
      <c r="F129" s="63"/>
      <c r="G129" s="8"/>
      <c r="H129" s="8"/>
      <c r="I129" s="10"/>
      <c r="J129" s="10"/>
      <c r="K129" s="9"/>
      <c r="L129" s="9"/>
      <c r="M129" s="9"/>
      <c r="N12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29" s="660"/>
      <c r="P129" s="660"/>
      <c r="Q129" s="461"/>
      <c r="R129" s="381"/>
      <c r="S129" s="37"/>
      <c r="T129" s="37"/>
      <c r="U129" s="37"/>
      <c r="V129" s="37"/>
      <c r="W129" s="37"/>
      <c r="X129" s="37"/>
      <c r="Y12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29" s="37"/>
      <c r="AA129" s="662" t="str">
        <f>IF(COUNTA(CCTSAS[[#This Row],[Nom]:[heures annuelles
selon contrat(s)]])=0,"",CCTSAS[[#This Row],[Total global]]-ABS(CCTSAS[[#This Row],[Dont non opposable]]))</f>
        <v/>
      </c>
      <c r="AB129" s="8"/>
      <c r="AC129" s="63"/>
      <c r="AD129" s="428"/>
      <c r="AE129" s="428"/>
      <c r="AF129" s="428"/>
      <c r="AG129" s="43"/>
      <c r="AH129" s="183" t="str">
        <f>IF(COUNTA(CCTSAS[[#This Row],[Nom]:[heures annuelles
selon contrat(s)]])=0,"",REVEX!$E$9)</f>
        <v/>
      </c>
      <c r="AI129" s="72" t="str">
        <f>IF(CCTSAS[[#This Row],[Allocation fonctions]]="","",IF(ISNA(VLOOKUP(CCTSAS[[#This Row],[Allocation fonctions]],DROPDOWN[Dropdown82],1,FALSE))=TRUE,"Veuillez utiliser les allocations parmis la liste déroulante.",""))</f>
        <v/>
      </c>
    </row>
    <row r="130" spans="1:35" x14ac:dyDescent="0.25">
      <c r="A130" s="72" t="str">
        <f>IF(CCTSAS[[#This Row],[Carrière]]="","",IF(ISNA(VLOOKUP(CCTSAS[[#This Row],[Carrière]],DROPDOWN[Dropdown9],1,FALSE))=TRUE,"Carrière: Utiliser la liste déroulante",""))</f>
        <v/>
      </c>
      <c r="B130" s="554" t="str">
        <f>IF(CCTSAS[[#This Row],[Matricule]]="","",MAX($B$7:B129)+1)</f>
        <v/>
      </c>
      <c r="C130" s="8"/>
      <c r="D130" s="8"/>
      <c r="E130" s="20"/>
      <c r="F130" s="63"/>
      <c r="G130" s="8"/>
      <c r="H130" s="8"/>
      <c r="I130" s="10"/>
      <c r="J130" s="10"/>
      <c r="K130" s="9"/>
      <c r="L130" s="9"/>
      <c r="M130" s="9"/>
      <c r="N13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0" s="660"/>
      <c r="P130" s="660"/>
      <c r="Q130" s="461"/>
      <c r="R130" s="381"/>
      <c r="S130" s="37"/>
      <c r="T130" s="37"/>
      <c r="U130" s="37"/>
      <c r="V130" s="37"/>
      <c r="W130" s="37"/>
      <c r="X130" s="37"/>
      <c r="Y13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0" s="37"/>
      <c r="AA130" s="662" t="str">
        <f>IF(COUNTA(CCTSAS[[#This Row],[Nom]:[heures annuelles
selon contrat(s)]])=0,"",CCTSAS[[#This Row],[Total global]]-ABS(CCTSAS[[#This Row],[Dont non opposable]]))</f>
        <v/>
      </c>
      <c r="AB130" s="8"/>
      <c r="AC130" s="63"/>
      <c r="AD130" s="428"/>
      <c r="AE130" s="428"/>
      <c r="AF130" s="428"/>
      <c r="AG130" s="43"/>
      <c r="AH130" s="183" t="str">
        <f>IF(COUNTA(CCTSAS[[#This Row],[Nom]:[heures annuelles
selon contrat(s)]])=0,"",REVEX!$E$9)</f>
        <v/>
      </c>
      <c r="AI130" s="72" t="str">
        <f>IF(CCTSAS[[#This Row],[Allocation fonctions]]="","",IF(ISNA(VLOOKUP(CCTSAS[[#This Row],[Allocation fonctions]],DROPDOWN[Dropdown82],1,FALSE))=TRUE,"Veuillez utiliser les allocations parmis la liste déroulante.",""))</f>
        <v/>
      </c>
    </row>
    <row r="131" spans="1:35" x14ac:dyDescent="0.25">
      <c r="A131" s="72" t="str">
        <f>IF(CCTSAS[[#This Row],[Carrière]]="","",IF(ISNA(VLOOKUP(CCTSAS[[#This Row],[Carrière]],DROPDOWN[Dropdown9],1,FALSE))=TRUE,"Carrière: Utiliser la liste déroulante",""))</f>
        <v/>
      </c>
      <c r="B131" s="554" t="str">
        <f>IF(CCTSAS[[#This Row],[Matricule]]="","",MAX($B$7:B130)+1)</f>
        <v/>
      </c>
      <c r="C131" s="8"/>
      <c r="D131" s="8"/>
      <c r="E131" s="20"/>
      <c r="F131" s="63"/>
      <c r="G131" s="8"/>
      <c r="H131" s="8"/>
      <c r="I131" s="10"/>
      <c r="J131" s="10"/>
      <c r="K131" s="9"/>
      <c r="L131" s="9"/>
      <c r="M131" s="9"/>
      <c r="N13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1" s="660"/>
      <c r="P131" s="660"/>
      <c r="Q131" s="461"/>
      <c r="R131" s="381"/>
      <c r="S131" s="37"/>
      <c r="T131" s="37"/>
      <c r="U131" s="37"/>
      <c r="V131" s="37"/>
      <c r="W131" s="37"/>
      <c r="X131" s="37"/>
      <c r="Y13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1" s="37"/>
      <c r="AA131" s="662" t="str">
        <f>IF(COUNTA(CCTSAS[[#This Row],[Nom]:[heures annuelles
selon contrat(s)]])=0,"",CCTSAS[[#This Row],[Total global]]-ABS(CCTSAS[[#This Row],[Dont non opposable]]))</f>
        <v/>
      </c>
      <c r="AB131" s="8"/>
      <c r="AC131" s="63"/>
      <c r="AD131" s="428"/>
      <c r="AE131" s="428"/>
      <c r="AF131" s="428"/>
      <c r="AG131" s="43"/>
      <c r="AH131" s="183" t="str">
        <f>IF(COUNTA(CCTSAS[[#This Row],[Nom]:[heures annuelles
selon contrat(s)]])=0,"",REVEX!$E$9)</f>
        <v/>
      </c>
      <c r="AI131" s="72" t="str">
        <f>IF(CCTSAS[[#This Row],[Allocation fonctions]]="","",IF(ISNA(VLOOKUP(CCTSAS[[#This Row],[Allocation fonctions]],DROPDOWN[Dropdown82],1,FALSE))=TRUE,"Veuillez utiliser les allocations parmis la liste déroulante.",""))</f>
        <v/>
      </c>
    </row>
    <row r="132" spans="1:35" x14ac:dyDescent="0.25">
      <c r="A132" s="72" t="str">
        <f>IF(CCTSAS[[#This Row],[Carrière]]="","",IF(ISNA(VLOOKUP(CCTSAS[[#This Row],[Carrière]],DROPDOWN[Dropdown9],1,FALSE))=TRUE,"Carrière: Utiliser la liste déroulante",""))</f>
        <v/>
      </c>
      <c r="B132" s="554" t="str">
        <f>IF(CCTSAS[[#This Row],[Matricule]]="","",MAX($B$7:B131)+1)</f>
        <v/>
      </c>
      <c r="C132" s="8"/>
      <c r="D132" s="8"/>
      <c r="E132" s="20"/>
      <c r="F132" s="63"/>
      <c r="G132" s="8"/>
      <c r="H132" s="8"/>
      <c r="I132" s="10"/>
      <c r="J132" s="10"/>
      <c r="K132" s="9"/>
      <c r="L132" s="9"/>
      <c r="M132" s="9"/>
      <c r="N13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2" s="660"/>
      <c r="P132" s="660"/>
      <c r="Q132" s="461"/>
      <c r="R132" s="381"/>
      <c r="S132" s="37"/>
      <c r="T132" s="37"/>
      <c r="U132" s="37"/>
      <c r="V132" s="37"/>
      <c r="W132" s="37"/>
      <c r="X132" s="37"/>
      <c r="Y13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2" s="37"/>
      <c r="AA132" s="662" t="str">
        <f>IF(COUNTA(CCTSAS[[#This Row],[Nom]:[heures annuelles
selon contrat(s)]])=0,"",CCTSAS[[#This Row],[Total global]]-ABS(CCTSAS[[#This Row],[Dont non opposable]]))</f>
        <v/>
      </c>
      <c r="AB132" s="8"/>
      <c r="AC132" s="63"/>
      <c r="AD132" s="428"/>
      <c r="AE132" s="428"/>
      <c r="AF132" s="428"/>
      <c r="AG132" s="43"/>
      <c r="AH132" s="183" t="str">
        <f>IF(COUNTA(CCTSAS[[#This Row],[Nom]:[heures annuelles
selon contrat(s)]])=0,"",REVEX!$E$9)</f>
        <v/>
      </c>
      <c r="AI132" s="72" t="str">
        <f>IF(CCTSAS[[#This Row],[Allocation fonctions]]="","",IF(ISNA(VLOOKUP(CCTSAS[[#This Row],[Allocation fonctions]],DROPDOWN[Dropdown82],1,FALSE))=TRUE,"Veuillez utiliser les allocations parmis la liste déroulante.",""))</f>
        <v/>
      </c>
    </row>
    <row r="133" spans="1:35" x14ac:dyDescent="0.25">
      <c r="A133" s="72" t="str">
        <f>IF(CCTSAS[[#This Row],[Carrière]]="","",IF(ISNA(VLOOKUP(CCTSAS[[#This Row],[Carrière]],DROPDOWN[Dropdown9],1,FALSE))=TRUE,"Carrière: Utiliser la liste déroulante",""))</f>
        <v/>
      </c>
      <c r="B133" s="554" t="str">
        <f>IF(CCTSAS[[#This Row],[Matricule]]="","",MAX($B$7:B132)+1)</f>
        <v/>
      </c>
      <c r="C133" s="8"/>
      <c r="D133" s="8"/>
      <c r="E133" s="20"/>
      <c r="F133" s="63"/>
      <c r="G133" s="8"/>
      <c r="H133" s="8"/>
      <c r="I133" s="10"/>
      <c r="J133" s="10"/>
      <c r="K133" s="9"/>
      <c r="L133" s="9"/>
      <c r="M133" s="9"/>
      <c r="N13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3" s="660"/>
      <c r="P133" s="660"/>
      <c r="Q133" s="461"/>
      <c r="R133" s="381"/>
      <c r="S133" s="37"/>
      <c r="T133" s="37"/>
      <c r="U133" s="37"/>
      <c r="V133" s="37"/>
      <c r="W133" s="37"/>
      <c r="X133" s="37"/>
      <c r="Y13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3" s="37"/>
      <c r="AA133" s="662" t="str">
        <f>IF(COUNTA(CCTSAS[[#This Row],[Nom]:[heures annuelles
selon contrat(s)]])=0,"",CCTSAS[[#This Row],[Total global]]-ABS(CCTSAS[[#This Row],[Dont non opposable]]))</f>
        <v/>
      </c>
      <c r="AB133" s="8"/>
      <c r="AC133" s="63"/>
      <c r="AD133" s="428"/>
      <c r="AE133" s="428"/>
      <c r="AF133" s="428"/>
      <c r="AG133" s="43"/>
      <c r="AH133" s="183" t="str">
        <f>IF(COUNTA(CCTSAS[[#This Row],[Nom]:[heures annuelles
selon contrat(s)]])=0,"",REVEX!$E$9)</f>
        <v/>
      </c>
      <c r="AI133" s="72" t="str">
        <f>IF(CCTSAS[[#This Row],[Allocation fonctions]]="","",IF(ISNA(VLOOKUP(CCTSAS[[#This Row],[Allocation fonctions]],DROPDOWN[Dropdown82],1,FALSE))=TRUE,"Veuillez utiliser les allocations parmis la liste déroulante.",""))</f>
        <v/>
      </c>
    </row>
    <row r="134" spans="1:35" x14ac:dyDescent="0.25">
      <c r="A134" s="72" t="str">
        <f>IF(CCTSAS[[#This Row],[Carrière]]="","",IF(ISNA(VLOOKUP(CCTSAS[[#This Row],[Carrière]],DROPDOWN[Dropdown9],1,FALSE))=TRUE,"Carrière: Utiliser la liste déroulante",""))</f>
        <v/>
      </c>
      <c r="B134" s="554" t="str">
        <f>IF(CCTSAS[[#This Row],[Matricule]]="","",MAX($B$7:B133)+1)</f>
        <v/>
      </c>
      <c r="C134" s="8"/>
      <c r="D134" s="8"/>
      <c r="E134" s="20"/>
      <c r="F134" s="63"/>
      <c r="G134" s="8"/>
      <c r="H134" s="8"/>
      <c r="I134" s="10"/>
      <c r="J134" s="10"/>
      <c r="K134" s="9"/>
      <c r="L134" s="9"/>
      <c r="M134" s="9"/>
      <c r="N13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4" s="660"/>
      <c r="P134" s="660"/>
      <c r="Q134" s="461"/>
      <c r="R134" s="381"/>
      <c r="S134" s="37"/>
      <c r="T134" s="37"/>
      <c r="U134" s="37"/>
      <c r="V134" s="37"/>
      <c r="W134" s="37"/>
      <c r="X134" s="37"/>
      <c r="Y13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4" s="37"/>
      <c r="AA134" s="662" t="str">
        <f>IF(COUNTA(CCTSAS[[#This Row],[Nom]:[heures annuelles
selon contrat(s)]])=0,"",CCTSAS[[#This Row],[Total global]]-ABS(CCTSAS[[#This Row],[Dont non opposable]]))</f>
        <v/>
      </c>
      <c r="AB134" s="8"/>
      <c r="AC134" s="63"/>
      <c r="AD134" s="428"/>
      <c r="AE134" s="428"/>
      <c r="AF134" s="428"/>
      <c r="AG134" s="43"/>
      <c r="AH134" s="183" t="str">
        <f>IF(COUNTA(CCTSAS[[#This Row],[Nom]:[heures annuelles
selon contrat(s)]])=0,"",REVEX!$E$9)</f>
        <v/>
      </c>
      <c r="AI134" s="72" t="str">
        <f>IF(CCTSAS[[#This Row],[Allocation fonctions]]="","",IF(ISNA(VLOOKUP(CCTSAS[[#This Row],[Allocation fonctions]],DROPDOWN[Dropdown82],1,FALSE))=TRUE,"Veuillez utiliser les allocations parmis la liste déroulante.",""))</f>
        <v/>
      </c>
    </row>
    <row r="135" spans="1:35" x14ac:dyDescent="0.25">
      <c r="A135" s="72" t="str">
        <f>IF(CCTSAS[[#This Row],[Carrière]]="","",IF(ISNA(VLOOKUP(CCTSAS[[#This Row],[Carrière]],DROPDOWN[Dropdown9],1,FALSE))=TRUE,"Carrière: Utiliser la liste déroulante",""))</f>
        <v/>
      </c>
      <c r="B135" s="554" t="str">
        <f>IF(CCTSAS[[#This Row],[Matricule]]="","",MAX($B$7:B134)+1)</f>
        <v/>
      </c>
      <c r="C135" s="8"/>
      <c r="D135" s="8"/>
      <c r="E135" s="20"/>
      <c r="F135" s="63"/>
      <c r="G135" s="8"/>
      <c r="H135" s="8"/>
      <c r="I135" s="10"/>
      <c r="J135" s="10"/>
      <c r="K135" s="9"/>
      <c r="L135" s="9"/>
      <c r="M135" s="9"/>
      <c r="N13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5" s="660"/>
      <c r="P135" s="660"/>
      <c r="Q135" s="461"/>
      <c r="R135" s="381"/>
      <c r="S135" s="37"/>
      <c r="T135" s="37"/>
      <c r="U135" s="37"/>
      <c r="V135" s="37"/>
      <c r="W135" s="37"/>
      <c r="X135" s="37"/>
      <c r="Y13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5" s="37"/>
      <c r="AA135" s="662" t="str">
        <f>IF(COUNTA(CCTSAS[[#This Row],[Nom]:[heures annuelles
selon contrat(s)]])=0,"",CCTSAS[[#This Row],[Total global]]-ABS(CCTSAS[[#This Row],[Dont non opposable]]))</f>
        <v/>
      </c>
      <c r="AB135" s="8"/>
      <c r="AC135" s="63"/>
      <c r="AD135" s="428"/>
      <c r="AE135" s="428"/>
      <c r="AF135" s="428"/>
      <c r="AG135" s="43"/>
      <c r="AH135" s="183" t="str">
        <f>IF(COUNTA(CCTSAS[[#This Row],[Nom]:[heures annuelles
selon contrat(s)]])=0,"",REVEX!$E$9)</f>
        <v/>
      </c>
      <c r="AI135" s="72" t="str">
        <f>IF(CCTSAS[[#This Row],[Allocation fonctions]]="","",IF(ISNA(VLOOKUP(CCTSAS[[#This Row],[Allocation fonctions]],DROPDOWN[Dropdown82],1,FALSE))=TRUE,"Veuillez utiliser les allocations parmis la liste déroulante.",""))</f>
        <v/>
      </c>
    </row>
    <row r="136" spans="1:35" x14ac:dyDescent="0.25">
      <c r="A136" s="72" t="str">
        <f>IF(CCTSAS[[#This Row],[Carrière]]="","",IF(ISNA(VLOOKUP(CCTSAS[[#This Row],[Carrière]],DROPDOWN[Dropdown9],1,FALSE))=TRUE,"Carrière: Utiliser la liste déroulante",""))</f>
        <v/>
      </c>
      <c r="B136" s="554" t="str">
        <f>IF(CCTSAS[[#This Row],[Matricule]]="","",MAX($B$7:B135)+1)</f>
        <v/>
      </c>
      <c r="C136" s="8"/>
      <c r="D136" s="8"/>
      <c r="E136" s="20"/>
      <c r="F136" s="63"/>
      <c r="G136" s="8"/>
      <c r="H136" s="8"/>
      <c r="I136" s="10"/>
      <c r="J136" s="10"/>
      <c r="K136" s="9"/>
      <c r="L136" s="9"/>
      <c r="M136" s="9"/>
      <c r="N13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6" s="660"/>
      <c r="P136" s="660"/>
      <c r="Q136" s="461"/>
      <c r="R136" s="381"/>
      <c r="S136" s="37"/>
      <c r="T136" s="37"/>
      <c r="U136" s="37"/>
      <c r="V136" s="37"/>
      <c r="W136" s="37"/>
      <c r="X136" s="37"/>
      <c r="Y13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6" s="37"/>
      <c r="AA136" s="662" t="str">
        <f>IF(COUNTA(CCTSAS[[#This Row],[Nom]:[heures annuelles
selon contrat(s)]])=0,"",CCTSAS[[#This Row],[Total global]]-ABS(CCTSAS[[#This Row],[Dont non opposable]]))</f>
        <v/>
      </c>
      <c r="AB136" s="8"/>
      <c r="AC136" s="63"/>
      <c r="AD136" s="428"/>
      <c r="AE136" s="428"/>
      <c r="AF136" s="428"/>
      <c r="AG136" s="43"/>
      <c r="AH136" s="183" t="str">
        <f>IF(COUNTA(CCTSAS[[#This Row],[Nom]:[heures annuelles
selon contrat(s)]])=0,"",REVEX!$E$9)</f>
        <v/>
      </c>
      <c r="AI136" s="72" t="str">
        <f>IF(CCTSAS[[#This Row],[Allocation fonctions]]="","",IF(ISNA(VLOOKUP(CCTSAS[[#This Row],[Allocation fonctions]],DROPDOWN[Dropdown82],1,FALSE))=TRUE,"Veuillez utiliser les allocations parmis la liste déroulante.",""))</f>
        <v/>
      </c>
    </row>
    <row r="137" spans="1:35" x14ac:dyDescent="0.25">
      <c r="A137" s="72" t="str">
        <f>IF(CCTSAS[[#This Row],[Carrière]]="","",IF(ISNA(VLOOKUP(CCTSAS[[#This Row],[Carrière]],DROPDOWN[Dropdown9],1,FALSE))=TRUE,"Carrière: Utiliser la liste déroulante",""))</f>
        <v/>
      </c>
      <c r="B137" s="554" t="str">
        <f>IF(CCTSAS[[#This Row],[Matricule]]="","",MAX($B$7:B136)+1)</f>
        <v/>
      </c>
      <c r="C137" s="8"/>
      <c r="D137" s="8"/>
      <c r="E137" s="20"/>
      <c r="F137" s="63"/>
      <c r="G137" s="8"/>
      <c r="H137" s="8"/>
      <c r="I137" s="10"/>
      <c r="J137" s="10"/>
      <c r="K137" s="9"/>
      <c r="L137" s="9"/>
      <c r="M137" s="9"/>
      <c r="N13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7" s="660"/>
      <c r="P137" s="660"/>
      <c r="Q137" s="461"/>
      <c r="R137" s="381"/>
      <c r="S137" s="37"/>
      <c r="T137" s="37"/>
      <c r="U137" s="37"/>
      <c r="V137" s="37"/>
      <c r="W137" s="37"/>
      <c r="X137" s="37"/>
      <c r="Y13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7" s="37"/>
      <c r="AA137" s="662" t="str">
        <f>IF(COUNTA(CCTSAS[[#This Row],[Nom]:[heures annuelles
selon contrat(s)]])=0,"",CCTSAS[[#This Row],[Total global]]-ABS(CCTSAS[[#This Row],[Dont non opposable]]))</f>
        <v/>
      </c>
      <c r="AB137" s="8"/>
      <c r="AC137" s="63"/>
      <c r="AD137" s="428"/>
      <c r="AE137" s="428"/>
      <c r="AF137" s="428"/>
      <c r="AG137" s="43"/>
      <c r="AH137" s="183" t="str">
        <f>IF(COUNTA(CCTSAS[[#This Row],[Nom]:[heures annuelles
selon contrat(s)]])=0,"",REVEX!$E$9)</f>
        <v/>
      </c>
      <c r="AI137" s="72" t="str">
        <f>IF(CCTSAS[[#This Row],[Allocation fonctions]]="","",IF(ISNA(VLOOKUP(CCTSAS[[#This Row],[Allocation fonctions]],DROPDOWN[Dropdown82],1,FALSE))=TRUE,"Veuillez utiliser les allocations parmis la liste déroulante.",""))</f>
        <v/>
      </c>
    </row>
    <row r="138" spans="1:35" x14ac:dyDescent="0.25">
      <c r="A138" s="72" t="str">
        <f>IF(CCTSAS[[#This Row],[Carrière]]="","",IF(ISNA(VLOOKUP(CCTSAS[[#This Row],[Carrière]],DROPDOWN[Dropdown9],1,FALSE))=TRUE,"Carrière: Utiliser la liste déroulante",""))</f>
        <v/>
      </c>
      <c r="B138" s="554" t="str">
        <f>IF(CCTSAS[[#This Row],[Matricule]]="","",MAX($B$7:B137)+1)</f>
        <v/>
      </c>
      <c r="C138" s="8"/>
      <c r="D138" s="8"/>
      <c r="E138" s="20"/>
      <c r="F138" s="63"/>
      <c r="G138" s="8"/>
      <c r="H138" s="8"/>
      <c r="I138" s="10"/>
      <c r="J138" s="10"/>
      <c r="K138" s="9"/>
      <c r="L138" s="9"/>
      <c r="M138" s="9"/>
      <c r="N13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8" s="660"/>
      <c r="P138" s="660"/>
      <c r="Q138" s="461"/>
      <c r="R138" s="381"/>
      <c r="S138" s="37"/>
      <c r="T138" s="37"/>
      <c r="U138" s="37"/>
      <c r="V138" s="37"/>
      <c r="W138" s="37"/>
      <c r="X138" s="37"/>
      <c r="Y13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8" s="37"/>
      <c r="AA138" s="662" t="str">
        <f>IF(COUNTA(CCTSAS[[#This Row],[Nom]:[heures annuelles
selon contrat(s)]])=0,"",CCTSAS[[#This Row],[Total global]]-ABS(CCTSAS[[#This Row],[Dont non opposable]]))</f>
        <v/>
      </c>
      <c r="AB138" s="8"/>
      <c r="AC138" s="63"/>
      <c r="AD138" s="428"/>
      <c r="AE138" s="428"/>
      <c r="AF138" s="428"/>
      <c r="AG138" s="43"/>
      <c r="AH138" s="183" t="str">
        <f>IF(COUNTA(CCTSAS[[#This Row],[Nom]:[heures annuelles
selon contrat(s)]])=0,"",REVEX!$E$9)</f>
        <v/>
      </c>
      <c r="AI138" s="72" t="str">
        <f>IF(CCTSAS[[#This Row],[Allocation fonctions]]="","",IF(ISNA(VLOOKUP(CCTSAS[[#This Row],[Allocation fonctions]],DROPDOWN[Dropdown82],1,FALSE))=TRUE,"Veuillez utiliser les allocations parmis la liste déroulante.",""))</f>
        <v/>
      </c>
    </row>
    <row r="139" spans="1:35" x14ac:dyDescent="0.25">
      <c r="A139" s="72" t="str">
        <f>IF(CCTSAS[[#This Row],[Carrière]]="","",IF(ISNA(VLOOKUP(CCTSAS[[#This Row],[Carrière]],DROPDOWN[Dropdown9],1,FALSE))=TRUE,"Carrière: Utiliser la liste déroulante",""))</f>
        <v/>
      </c>
      <c r="B139" s="554" t="str">
        <f>IF(CCTSAS[[#This Row],[Matricule]]="","",MAX($B$7:B138)+1)</f>
        <v/>
      </c>
      <c r="C139" s="8"/>
      <c r="D139" s="8"/>
      <c r="E139" s="20"/>
      <c r="F139" s="63"/>
      <c r="G139" s="8"/>
      <c r="H139" s="8"/>
      <c r="I139" s="10"/>
      <c r="J139" s="10"/>
      <c r="K139" s="9"/>
      <c r="L139" s="9"/>
      <c r="M139" s="9"/>
      <c r="N13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39" s="660"/>
      <c r="P139" s="660"/>
      <c r="Q139" s="461"/>
      <c r="R139" s="381"/>
      <c r="S139" s="37"/>
      <c r="T139" s="37"/>
      <c r="U139" s="37"/>
      <c r="V139" s="37"/>
      <c r="W139" s="37"/>
      <c r="X139" s="37"/>
      <c r="Y13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39" s="37"/>
      <c r="AA139" s="662" t="str">
        <f>IF(COUNTA(CCTSAS[[#This Row],[Nom]:[heures annuelles
selon contrat(s)]])=0,"",CCTSAS[[#This Row],[Total global]]-ABS(CCTSAS[[#This Row],[Dont non opposable]]))</f>
        <v/>
      </c>
      <c r="AB139" s="8"/>
      <c r="AC139" s="63"/>
      <c r="AD139" s="428"/>
      <c r="AE139" s="428"/>
      <c r="AF139" s="428"/>
      <c r="AG139" s="43"/>
      <c r="AH139" s="183" t="str">
        <f>IF(COUNTA(CCTSAS[[#This Row],[Nom]:[heures annuelles
selon contrat(s)]])=0,"",REVEX!$E$9)</f>
        <v/>
      </c>
      <c r="AI139" s="72" t="str">
        <f>IF(CCTSAS[[#This Row],[Allocation fonctions]]="","",IF(ISNA(VLOOKUP(CCTSAS[[#This Row],[Allocation fonctions]],DROPDOWN[Dropdown82],1,FALSE))=TRUE,"Veuillez utiliser les allocations parmis la liste déroulante.",""))</f>
        <v/>
      </c>
    </row>
    <row r="140" spans="1:35" x14ac:dyDescent="0.25">
      <c r="A140" s="72" t="str">
        <f>IF(CCTSAS[[#This Row],[Carrière]]="","",IF(ISNA(VLOOKUP(CCTSAS[[#This Row],[Carrière]],DROPDOWN[Dropdown9],1,FALSE))=TRUE,"Carrière: Utiliser la liste déroulante",""))</f>
        <v/>
      </c>
      <c r="B140" s="554" t="str">
        <f>IF(CCTSAS[[#This Row],[Matricule]]="","",MAX($B$7:B139)+1)</f>
        <v/>
      </c>
      <c r="C140" s="8"/>
      <c r="D140" s="8"/>
      <c r="E140" s="20"/>
      <c r="F140" s="63"/>
      <c r="G140" s="8"/>
      <c r="H140" s="8"/>
      <c r="I140" s="10"/>
      <c r="J140" s="10"/>
      <c r="K140" s="9"/>
      <c r="L140" s="9"/>
      <c r="M140" s="9"/>
      <c r="N14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0" s="660"/>
      <c r="P140" s="660"/>
      <c r="Q140" s="461"/>
      <c r="R140" s="381"/>
      <c r="S140" s="37"/>
      <c r="T140" s="37"/>
      <c r="U140" s="37"/>
      <c r="V140" s="37"/>
      <c r="W140" s="37"/>
      <c r="X140" s="37"/>
      <c r="Y14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0" s="37"/>
      <c r="AA140" s="662" t="str">
        <f>IF(COUNTA(CCTSAS[[#This Row],[Nom]:[heures annuelles
selon contrat(s)]])=0,"",CCTSAS[[#This Row],[Total global]]-ABS(CCTSAS[[#This Row],[Dont non opposable]]))</f>
        <v/>
      </c>
      <c r="AB140" s="8"/>
      <c r="AC140" s="63"/>
      <c r="AD140" s="428"/>
      <c r="AE140" s="428"/>
      <c r="AF140" s="428"/>
      <c r="AG140" s="43"/>
      <c r="AH140" s="183" t="str">
        <f>IF(COUNTA(CCTSAS[[#This Row],[Nom]:[heures annuelles
selon contrat(s)]])=0,"",REVEX!$E$9)</f>
        <v/>
      </c>
      <c r="AI140" s="72" t="str">
        <f>IF(CCTSAS[[#This Row],[Allocation fonctions]]="","",IF(ISNA(VLOOKUP(CCTSAS[[#This Row],[Allocation fonctions]],DROPDOWN[Dropdown82],1,FALSE))=TRUE,"Veuillez utiliser les allocations parmis la liste déroulante.",""))</f>
        <v/>
      </c>
    </row>
    <row r="141" spans="1:35" x14ac:dyDescent="0.25">
      <c r="A141" s="72" t="str">
        <f>IF(CCTSAS[[#This Row],[Carrière]]="","",IF(ISNA(VLOOKUP(CCTSAS[[#This Row],[Carrière]],DROPDOWN[Dropdown9],1,FALSE))=TRUE,"Carrière: Utiliser la liste déroulante",""))</f>
        <v/>
      </c>
      <c r="B141" s="554" t="str">
        <f>IF(CCTSAS[[#This Row],[Matricule]]="","",MAX($B$7:B140)+1)</f>
        <v/>
      </c>
      <c r="C141" s="8"/>
      <c r="D141" s="8"/>
      <c r="E141" s="20"/>
      <c r="F141" s="63"/>
      <c r="G141" s="8"/>
      <c r="H141" s="8"/>
      <c r="I141" s="10"/>
      <c r="J141" s="10"/>
      <c r="K141" s="9"/>
      <c r="L141" s="9"/>
      <c r="M141" s="9"/>
      <c r="N14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1" s="660"/>
      <c r="P141" s="660"/>
      <c r="Q141" s="461"/>
      <c r="R141" s="381"/>
      <c r="S141" s="37"/>
      <c r="T141" s="37"/>
      <c r="U141" s="37"/>
      <c r="V141" s="37"/>
      <c r="W141" s="37"/>
      <c r="X141" s="37"/>
      <c r="Y14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1" s="37"/>
      <c r="AA141" s="662" t="str">
        <f>IF(COUNTA(CCTSAS[[#This Row],[Nom]:[heures annuelles
selon contrat(s)]])=0,"",CCTSAS[[#This Row],[Total global]]-ABS(CCTSAS[[#This Row],[Dont non opposable]]))</f>
        <v/>
      </c>
      <c r="AB141" s="8"/>
      <c r="AC141" s="63"/>
      <c r="AD141" s="428"/>
      <c r="AE141" s="428"/>
      <c r="AF141" s="428"/>
      <c r="AG141" s="43"/>
      <c r="AH141" s="183" t="str">
        <f>IF(COUNTA(CCTSAS[[#This Row],[Nom]:[heures annuelles
selon contrat(s)]])=0,"",REVEX!$E$9)</f>
        <v/>
      </c>
      <c r="AI141" s="72" t="str">
        <f>IF(CCTSAS[[#This Row],[Allocation fonctions]]="","",IF(ISNA(VLOOKUP(CCTSAS[[#This Row],[Allocation fonctions]],DROPDOWN[Dropdown82],1,FALSE))=TRUE,"Veuillez utiliser les allocations parmis la liste déroulante.",""))</f>
        <v/>
      </c>
    </row>
    <row r="142" spans="1:35" x14ac:dyDescent="0.25">
      <c r="A142" s="72" t="str">
        <f>IF(CCTSAS[[#This Row],[Carrière]]="","",IF(ISNA(VLOOKUP(CCTSAS[[#This Row],[Carrière]],DROPDOWN[Dropdown9],1,FALSE))=TRUE,"Carrière: Utiliser la liste déroulante",""))</f>
        <v/>
      </c>
      <c r="B142" s="554" t="str">
        <f>IF(CCTSAS[[#This Row],[Matricule]]="","",MAX($B$7:B141)+1)</f>
        <v/>
      </c>
      <c r="C142" s="8"/>
      <c r="D142" s="8"/>
      <c r="E142" s="20"/>
      <c r="F142" s="63"/>
      <c r="G142" s="8"/>
      <c r="H142" s="8"/>
      <c r="I142" s="10"/>
      <c r="J142" s="10"/>
      <c r="K142" s="9"/>
      <c r="L142" s="9"/>
      <c r="M142" s="9"/>
      <c r="N14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2" s="660"/>
      <c r="P142" s="660"/>
      <c r="Q142" s="461"/>
      <c r="R142" s="381"/>
      <c r="S142" s="37"/>
      <c r="T142" s="37"/>
      <c r="U142" s="37"/>
      <c r="V142" s="37"/>
      <c r="W142" s="37"/>
      <c r="X142" s="37"/>
      <c r="Y14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2" s="37"/>
      <c r="AA142" s="662" t="str">
        <f>IF(COUNTA(CCTSAS[[#This Row],[Nom]:[heures annuelles
selon contrat(s)]])=0,"",CCTSAS[[#This Row],[Total global]]-ABS(CCTSAS[[#This Row],[Dont non opposable]]))</f>
        <v/>
      </c>
      <c r="AB142" s="8"/>
      <c r="AC142" s="63"/>
      <c r="AD142" s="428"/>
      <c r="AE142" s="428"/>
      <c r="AF142" s="428"/>
      <c r="AG142" s="43"/>
      <c r="AH142" s="183" t="str">
        <f>IF(COUNTA(CCTSAS[[#This Row],[Nom]:[heures annuelles
selon contrat(s)]])=0,"",REVEX!$E$9)</f>
        <v/>
      </c>
      <c r="AI142" s="72" t="str">
        <f>IF(CCTSAS[[#This Row],[Allocation fonctions]]="","",IF(ISNA(VLOOKUP(CCTSAS[[#This Row],[Allocation fonctions]],DROPDOWN[Dropdown82],1,FALSE))=TRUE,"Veuillez utiliser les allocations parmis la liste déroulante.",""))</f>
        <v/>
      </c>
    </row>
    <row r="143" spans="1:35" x14ac:dyDescent="0.25">
      <c r="A143" s="72" t="str">
        <f>IF(CCTSAS[[#This Row],[Carrière]]="","",IF(ISNA(VLOOKUP(CCTSAS[[#This Row],[Carrière]],DROPDOWN[Dropdown9],1,FALSE))=TRUE,"Carrière: Utiliser la liste déroulante",""))</f>
        <v/>
      </c>
      <c r="B143" s="554" t="str">
        <f>IF(CCTSAS[[#This Row],[Matricule]]="","",MAX($B$7:B142)+1)</f>
        <v/>
      </c>
      <c r="C143" s="8"/>
      <c r="D143" s="8"/>
      <c r="E143" s="20"/>
      <c r="F143" s="63"/>
      <c r="G143" s="8"/>
      <c r="H143" s="8"/>
      <c r="I143" s="10"/>
      <c r="J143" s="10"/>
      <c r="K143" s="9"/>
      <c r="L143" s="9"/>
      <c r="M143" s="9"/>
      <c r="N14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3" s="660"/>
      <c r="P143" s="660"/>
      <c r="Q143" s="461"/>
      <c r="R143" s="381"/>
      <c r="S143" s="37"/>
      <c r="T143" s="37"/>
      <c r="U143" s="37"/>
      <c r="V143" s="37"/>
      <c r="W143" s="37"/>
      <c r="X143" s="37"/>
      <c r="Y14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3" s="37"/>
      <c r="AA143" s="662" t="str">
        <f>IF(COUNTA(CCTSAS[[#This Row],[Nom]:[heures annuelles
selon contrat(s)]])=0,"",CCTSAS[[#This Row],[Total global]]-ABS(CCTSAS[[#This Row],[Dont non opposable]]))</f>
        <v/>
      </c>
      <c r="AB143" s="8"/>
      <c r="AC143" s="63"/>
      <c r="AD143" s="428"/>
      <c r="AE143" s="428"/>
      <c r="AF143" s="428"/>
      <c r="AG143" s="43"/>
      <c r="AH143" s="183" t="str">
        <f>IF(COUNTA(CCTSAS[[#This Row],[Nom]:[heures annuelles
selon contrat(s)]])=0,"",REVEX!$E$9)</f>
        <v/>
      </c>
      <c r="AI143" s="72" t="str">
        <f>IF(CCTSAS[[#This Row],[Allocation fonctions]]="","",IF(ISNA(VLOOKUP(CCTSAS[[#This Row],[Allocation fonctions]],DROPDOWN[Dropdown82],1,FALSE))=TRUE,"Veuillez utiliser les allocations parmis la liste déroulante.",""))</f>
        <v/>
      </c>
    </row>
    <row r="144" spans="1:35" x14ac:dyDescent="0.25">
      <c r="A144" s="72" t="str">
        <f>IF(CCTSAS[[#This Row],[Carrière]]="","",IF(ISNA(VLOOKUP(CCTSAS[[#This Row],[Carrière]],DROPDOWN[Dropdown9],1,FALSE))=TRUE,"Carrière: Utiliser la liste déroulante",""))</f>
        <v/>
      </c>
      <c r="B144" s="554" t="str">
        <f>IF(CCTSAS[[#This Row],[Matricule]]="","",MAX($B$7:B143)+1)</f>
        <v/>
      </c>
      <c r="C144" s="8"/>
      <c r="D144" s="8"/>
      <c r="E144" s="20"/>
      <c r="F144" s="63"/>
      <c r="G144" s="8"/>
      <c r="H144" s="8"/>
      <c r="I144" s="10"/>
      <c r="J144" s="10"/>
      <c r="K144" s="9"/>
      <c r="L144" s="9"/>
      <c r="M144" s="9"/>
      <c r="N14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4" s="660"/>
      <c r="P144" s="660"/>
      <c r="Q144" s="461"/>
      <c r="R144" s="381"/>
      <c r="S144" s="37"/>
      <c r="T144" s="37"/>
      <c r="U144" s="37"/>
      <c r="V144" s="37"/>
      <c r="W144" s="37"/>
      <c r="X144" s="37"/>
      <c r="Y14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4" s="37"/>
      <c r="AA144" s="662" t="str">
        <f>IF(COUNTA(CCTSAS[[#This Row],[Nom]:[heures annuelles
selon contrat(s)]])=0,"",CCTSAS[[#This Row],[Total global]]-ABS(CCTSAS[[#This Row],[Dont non opposable]]))</f>
        <v/>
      </c>
      <c r="AB144" s="8"/>
      <c r="AC144" s="63"/>
      <c r="AD144" s="428"/>
      <c r="AE144" s="428"/>
      <c r="AF144" s="428"/>
      <c r="AG144" s="43"/>
      <c r="AH144" s="183" t="str">
        <f>IF(COUNTA(CCTSAS[[#This Row],[Nom]:[heures annuelles
selon contrat(s)]])=0,"",REVEX!$E$9)</f>
        <v/>
      </c>
      <c r="AI144" s="72" t="str">
        <f>IF(CCTSAS[[#This Row],[Allocation fonctions]]="","",IF(ISNA(VLOOKUP(CCTSAS[[#This Row],[Allocation fonctions]],DROPDOWN[Dropdown82],1,FALSE))=TRUE,"Veuillez utiliser les allocations parmis la liste déroulante.",""))</f>
        <v/>
      </c>
    </row>
    <row r="145" spans="1:35" x14ac:dyDescent="0.25">
      <c r="A145" s="72" t="str">
        <f>IF(CCTSAS[[#This Row],[Carrière]]="","",IF(ISNA(VLOOKUP(CCTSAS[[#This Row],[Carrière]],DROPDOWN[Dropdown9],1,FALSE))=TRUE,"Carrière: Utiliser la liste déroulante",""))</f>
        <v/>
      </c>
      <c r="B145" s="554" t="str">
        <f>IF(CCTSAS[[#This Row],[Matricule]]="","",MAX($B$7:B144)+1)</f>
        <v/>
      </c>
      <c r="C145" s="8"/>
      <c r="D145" s="8"/>
      <c r="E145" s="20"/>
      <c r="F145" s="63"/>
      <c r="G145" s="8"/>
      <c r="H145" s="8"/>
      <c r="I145" s="10"/>
      <c r="J145" s="10"/>
      <c r="K145" s="9"/>
      <c r="L145" s="9"/>
      <c r="M145" s="9"/>
      <c r="N14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5" s="660"/>
      <c r="P145" s="660"/>
      <c r="Q145" s="461"/>
      <c r="R145" s="381"/>
      <c r="S145" s="37"/>
      <c r="T145" s="37"/>
      <c r="U145" s="37"/>
      <c r="V145" s="37"/>
      <c r="W145" s="37"/>
      <c r="X145" s="37"/>
      <c r="Y14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5" s="37"/>
      <c r="AA145" s="662" t="str">
        <f>IF(COUNTA(CCTSAS[[#This Row],[Nom]:[heures annuelles
selon contrat(s)]])=0,"",CCTSAS[[#This Row],[Total global]]-ABS(CCTSAS[[#This Row],[Dont non opposable]]))</f>
        <v/>
      </c>
      <c r="AB145" s="8"/>
      <c r="AC145" s="63"/>
      <c r="AD145" s="428"/>
      <c r="AE145" s="428"/>
      <c r="AF145" s="428"/>
      <c r="AG145" s="43"/>
      <c r="AH145" s="183" t="str">
        <f>IF(COUNTA(CCTSAS[[#This Row],[Nom]:[heures annuelles
selon contrat(s)]])=0,"",REVEX!$E$9)</f>
        <v/>
      </c>
      <c r="AI145" s="72" t="str">
        <f>IF(CCTSAS[[#This Row],[Allocation fonctions]]="","",IF(ISNA(VLOOKUP(CCTSAS[[#This Row],[Allocation fonctions]],DROPDOWN[Dropdown82],1,FALSE))=TRUE,"Veuillez utiliser les allocations parmis la liste déroulante.",""))</f>
        <v/>
      </c>
    </row>
    <row r="146" spans="1:35" x14ac:dyDescent="0.25">
      <c r="A146" s="72" t="str">
        <f>IF(CCTSAS[[#This Row],[Carrière]]="","",IF(ISNA(VLOOKUP(CCTSAS[[#This Row],[Carrière]],DROPDOWN[Dropdown9],1,FALSE))=TRUE,"Carrière: Utiliser la liste déroulante",""))</f>
        <v/>
      </c>
      <c r="B146" s="554" t="str">
        <f>IF(CCTSAS[[#This Row],[Matricule]]="","",MAX($B$7:B145)+1)</f>
        <v/>
      </c>
      <c r="C146" s="8"/>
      <c r="D146" s="8"/>
      <c r="E146" s="20"/>
      <c r="F146" s="63"/>
      <c r="G146" s="8"/>
      <c r="H146" s="8"/>
      <c r="I146" s="10"/>
      <c r="J146" s="10"/>
      <c r="K146" s="9"/>
      <c r="L146" s="9"/>
      <c r="M146" s="9"/>
      <c r="N14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6" s="660"/>
      <c r="P146" s="660"/>
      <c r="Q146" s="461"/>
      <c r="R146" s="381"/>
      <c r="S146" s="37"/>
      <c r="T146" s="37"/>
      <c r="U146" s="37"/>
      <c r="V146" s="37"/>
      <c r="W146" s="37"/>
      <c r="X146" s="37"/>
      <c r="Y14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6" s="37"/>
      <c r="AA146" s="662" t="str">
        <f>IF(COUNTA(CCTSAS[[#This Row],[Nom]:[heures annuelles
selon contrat(s)]])=0,"",CCTSAS[[#This Row],[Total global]]-ABS(CCTSAS[[#This Row],[Dont non opposable]]))</f>
        <v/>
      </c>
      <c r="AB146" s="8"/>
      <c r="AC146" s="63"/>
      <c r="AD146" s="428"/>
      <c r="AE146" s="428"/>
      <c r="AF146" s="428"/>
      <c r="AG146" s="43"/>
      <c r="AH146" s="183" t="str">
        <f>IF(COUNTA(CCTSAS[[#This Row],[Nom]:[heures annuelles
selon contrat(s)]])=0,"",REVEX!$E$9)</f>
        <v/>
      </c>
      <c r="AI146" s="72" t="str">
        <f>IF(CCTSAS[[#This Row],[Allocation fonctions]]="","",IF(ISNA(VLOOKUP(CCTSAS[[#This Row],[Allocation fonctions]],DROPDOWN[Dropdown82],1,FALSE))=TRUE,"Veuillez utiliser les allocations parmis la liste déroulante.",""))</f>
        <v/>
      </c>
    </row>
    <row r="147" spans="1:35" x14ac:dyDescent="0.25">
      <c r="A147" s="72" t="str">
        <f>IF(CCTSAS[[#This Row],[Carrière]]="","",IF(ISNA(VLOOKUP(CCTSAS[[#This Row],[Carrière]],DROPDOWN[Dropdown9],1,FALSE))=TRUE,"Carrière: Utiliser la liste déroulante",""))</f>
        <v/>
      </c>
      <c r="B147" s="554" t="str">
        <f>IF(CCTSAS[[#This Row],[Matricule]]="","",MAX($B$7:B146)+1)</f>
        <v/>
      </c>
      <c r="C147" s="8"/>
      <c r="D147" s="8"/>
      <c r="E147" s="20"/>
      <c r="F147" s="63"/>
      <c r="G147" s="8"/>
      <c r="H147" s="8"/>
      <c r="I147" s="10"/>
      <c r="J147" s="10"/>
      <c r="K147" s="9"/>
      <c r="L147" s="9"/>
      <c r="M147" s="9"/>
      <c r="N14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7" s="660"/>
      <c r="P147" s="660"/>
      <c r="Q147" s="461"/>
      <c r="R147" s="381"/>
      <c r="S147" s="37"/>
      <c r="T147" s="37"/>
      <c r="U147" s="37"/>
      <c r="V147" s="37"/>
      <c r="W147" s="37"/>
      <c r="X147" s="37"/>
      <c r="Y14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7" s="37"/>
      <c r="AA147" s="662" t="str">
        <f>IF(COUNTA(CCTSAS[[#This Row],[Nom]:[heures annuelles
selon contrat(s)]])=0,"",CCTSAS[[#This Row],[Total global]]-ABS(CCTSAS[[#This Row],[Dont non opposable]]))</f>
        <v/>
      </c>
      <c r="AB147" s="8"/>
      <c r="AC147" s="63"/>
      <c r="AD147" s="428"/>
      <c r="AE147" s="428"/>
      <c r="AF147" s="428"/>
      <c r="AG147" s="43"/>
      <c r="AH147" s="183" t="str">
        <f>IF(COUNTA(CCTSAS[[#This Row],[Nom]:[heures annuelles
selon contrat(s)]])=0,"",REVEX!$E$9)</f>
        <v/>
      </c>
      <c r="AI147" s="72" t="str">
        <f>IF(CCTSAS[[#This Row],[Allocation fonctions]]="","",IF(ISNA(VLOOKUP(CCTSAS[[#This Row],[Allocation fonctions]],DROPDOWN[Dropdown82],1,FALSE))=TRUE,"Veuillez utiliser les allocations parmis la liste déroulante.",""))</f>
        <v/>
      </c>
    </row>
    <row r="148" spans="1:35" x14ac:dyDescent="0.25">
      <c r="A148" s="72" t="str">
        <f>IF(CCTSAS[[#This Row],[Carrière]]="","",IF(ISNA(VLOOKUP(CCTSAS[[#This Row],[Carrière]],DROPDOWN[Dropdown9],1,FALSE))=TRUE,"Carrière: Utiliser la liste déroulante",""))</f>
        <v/>
      </c>
      <c r="B148" s="554" t="str">
        <f>IF(CCTSAS[[#This Row],[Matricule]]="","",MAX($B$7:B147)+1)</f>
        <v/>
      </c>
      <c r="C148" s="8"/>
      <c r="D148" s="8"/>
      <c r="E148" s="20"/>
      <c r="F148" s="63"/>
      <c r="G148" s="8"/>
      <c r="H148" s="8"/>
      <c r="I148" s="10"/>
      <c r="J148" s="10"/>
      <c r="K148" s="9"/>
      <c r="L148" s="9"/>
      <c r="M148" s="9"/>
      <c r="N14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8" s="660"/>
      <c r="P148" s="660"/>
      <c r="Q148" s="461"/>
      <c r="R148" s="381"/>
      <c r="S148" s="37"/>
      <c r="T148" s="37"/>
      <c r="U148" s="37"/>
      <c r="V148" s="37"/>
      <c r="W148" s="37"/>
      <c r="X148" s="37"/>
      <c r="Y14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8" s="37"/>
      <c r="AA148" s="662" t="str">
        <f>IF(COUNTA(CCTSAS[[#This Row],[Nom]:[heures annuelles
selon contrat(s)]])=0,"",CCTSAS[[#This Row],[Total global]]-ABS(CCTSAS[[#This Row],[Dont non opposable]]))</f>
        <v/>
      </c>
      <c r="AB148" s="8"/>
      <c r="AC148" s="63"/>
      <c r="AD148" s="428"/>
      <c r="AE148" s="428"/>
      <c r="AF148" s="428"/>
      <c r="AG148" s="43"/>
      <c r="AH148" s="183" t="str">
        <f>IF(COUNTA(CCTSAS[[#This Row],[Nom]:[heures annuelles
selon contrat(s)]])=0,"",REVEX!$E$9)</f>
        <v/>
      </c>
      <c r="AI148" s="72" t="str">
        <f>IF(CCTSAS[[#This Row],[Allocation fonctions]]="","",IF(ISNA(VLOOKUP(CCTSAS[[#This Row],[Allocation fonctions]],DROPDOWN[Dropdown82],1,FALSE))=TRUE,"Veuillez utiliser les allocations parmis la liste déroulante.",""))</f>
        <v/>
      </c>
    </row>
    <row r="149" spans="1:35" x14ac:dyDescent="0.25">
      <c r="A149" s="72" t="str">
        <f>IF(CCTSAS[[#This Row],[Carrière]]="","",IF(ISNA(VLOOKUP(CCTSAS[[#This Row],[Carrière]],DROPDOWN[Dropdown9],1,FALSE))=TRUE,"Carrière: Utiliser la liste déroulante",""))</f>
        <v/>
      </c>
      <c r="B149" s="554" t="str">
        <f>IF(CCTSAS[[#This Row],[Matricule]]="","",MAX($B$7:B148)+1)</f>
        <v/>
      </c>
      <c r="C149" s="8"/>
      <c r="D149" s="8"/>
      <c r="E149" s="20"/>
      <c r="F149" s="63"/>
      <c r="G149" s="8"/>
      <c r="H149" s="8"/>
      <c r="I149" s="10"/>
      <c r="J149" s="10"/>
      <c r="K149" s="9"/>
      <c r="L149" s="9"/>
      <c r="M149" s="9"/>
      <c r="N14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49" s="660"/>
      <c r="P149" s="660"/>
      <c r="Q149" s="461"/>
      <c r="R149" s="381"/>
      <c r="S149" s="37"/>
      <c r="T149" s="37"/>
      <c r="U149" s="37"/>
      <c r="V149" s="37"/>
      <c r="W149" s="37"/>
      <c r="X149" s="37"/>
      <c r="Y14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49" s="37"/>
      <c r="AA149" s="662" t="str">
        <f>IF(COUNTA(CCTSAS[[#This Row],[Nom]:[heures annuelles
selon contrat(s)]])=0,"",CCTSAS[[#This Row],[Total global]]-ABS(CCTSAS[[#This Row],[Dont non opposable]]))</f>
        <v/>
      </c>
      <c r="AB149" s="8"/>
      <c r="AC149" s="63"/>
      <c r="AD149" s="428"/>
      <c r="AE149" s="428"/>
      <c r="AF149" s="428"/>
      <c r="AG149" s="43"/>
      <c r="AH149" s="183" t="str">
        <f>IF(COUNTA(CCTSAS[[#This Row],[Nom]:[heures annuelles
selon contrat(s)]])=0,"",REVEX!$E$9)</f>
        <v/>
      </c>
      <c r="AI149" s="72" t="str">
        <f>IF(CCTSAS[[#This Row],[Allocation fonctions]]="","",IF(ISNA(VLOOKUP(CCTSAS[[#This Row],[Allocation fonctions]],DROPDOWN[Dropdown82],1,FALSE))=TRUE,"Veuillez utiliser les allocations parmis la liste déroulante.",""))</f>
        <v/>
      </c>
    </row>
    <row r="150" spans="1:35" x14ac:dyDescent="0.25">
      <c r="A150" s="72" t="str">
        <f>IF(CCTSAS[[#This Row],[Carrière]]="","",IF(ISNA(VLOOKUP(CCTSAS[[#This Row],[Carrière]],DROPDOWN[Dropdown9],1,FALSE))=TRUE,"Carrière: Utiliser la liste déroulante",""))</f>
        <v/>
      </c>
      <c r="B150" s="554" t="str">
        <f>IF(CCTSAS[[#This Row],[Matricule]]="","",MAX($B$7:B149)+1)</f>
        <v/>
      </c>
      <c r="C150" s="8"/>
      <c r="D150" s="8"/>
      <c r="E150" s="20"/>
      <c r="F150" s="63"/>
      <c r="G150" s="8"/>
      <c r="H150" s="8"/>
      <c r="I150" s="10"/>
      <c r="J150" s="10"/>
      <c r="K150" s="9"/>
      <c r="L150" s="9"/>
      <c r="M150" s="9"/>
      <c r="N15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0" s="660"/>
      <c r="P150" s="660"/>
      <c r="Q150" s="461"/>
      <c r="R150" s="381"/>
      <c r="S150" s="37"/>
      <c r="T150" s="37"/>
      <c r="U150" s="37"/>
      <c r="V150" s="37"/>
      <c r="W150" s="37"/>
      <c r="X150" s="37"/>
      <c r="Y15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0" s="37"/>
      <c r="AA150" s="662" t="str">
        <f>IF(COUNTA(CCTSAS[[#This Row],[Nom]:[heures annuelles
selon contrat(s)]])=0,"",CCTSAS[[#This Row],[Total global]]-ABS(CCTSAS[[#This Row],[Dont non opposable]]))</f>
        <v/>
      </c>
      <c r="AB150" s="8"/>
      <c r="AC150" s="63"/>
      <c r="AD150" s="428"/>
      <c r="AE150" s="428"/>
      <c r="AF150" s="428"/>
      <c r="AG150" s="43"/>
      <c r="AH150" s="183" t="str">
        <f>IF(COUNTA(CCTSAS[[#This Row],[Nom]:[heures annuelles
selon contrat(s)]])=0,"",REVEX!$E$9)</f>
        <v/>
      </c>
      <c r="AI150" s="72" t="str">
        <f>IF(CCTSAS[[#This Row],[Allocation fonctions]]="","",IF(ISNA(VLOOKUP(CCTSAS[[#This Row],[Allocation fonctions]],DROPDOWN[Dropdown82],1,FALSE))=TRUE,"Veuillez utiliser les allocations parmis la liste déroulante.",""))</f>
        <v/>
      </c>
    </row>
    <row r="151" spans="1:35" x14ac:dyDescent="0.25">
      <c r="A151" s="72" t="str">
        <f>IF(CCTSAS[[#This Row],[Carrière]]="","",IF(ISNA(VLOOKUP(CCTSAS[[#This Row],[Carrière]],DROPDOWN[Dropdown9],1,FALSE))=TRUE,"Carrière: Utiliser la liste déroulante",""))</f>
        <v/>
      </c>
      <c r="B151" s="554" t="str">
        <f>IF(CCTSAS[[#This Row],[Matricule]]="","",MAX($B$7:B150)+1)</f>
        <v/>
      </c>
      <c r="C151" s="8"/>
      <c r="D151" s="8"/>
      <c r="E151" s="20"/>
      <c r="F151" s="63"/>
      <c r="G151" s="8"/>
      <c r="H151" s="8"/>
      <c r="I151" s="10"/>
      <c r="J151" s="10"/>
      <c r="K151" s="9"/>
      <c r="L151" s="9"/>
      <c r="M151" s="9"/>
      <c r="N15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1" s="660"/>
      <c r="P151" s="660"/>
      <c r="Q151" s="461"/>
      <c r="R151" s="381"/>
      <c r="S151" s="37"/>
      <c r="T151" s="37"/>
      <c r="U151" s="37"/>
      <c r="V151" s="37"/>
      <c r="W151" s="37"/>
      <c r="X151" s="37"/>
      <c r="Y15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1" s="37"/>
      <c r="AA151" s="662" t="str">
        <f>IF(COUNTA(CCTSAS[[#This Row],[Nom]:[heures annuelles
selon contrat(s)]])=0,"",CCTSAS[[#This Row],[Total global]]-ABS(CCTSAS[[#This Row],[Dont non opposable]]))</f>
        <v/>
      </c>
      <c r="AB151" s="8"/>
      <c r="AC151" s="63"/>
      <c r="AD151" s="428"/>
      <c r="AE151" s="428"/>
      <c r="AF151" s="428"/>
      <c r="AG151" s="43"/>
      <c r="AH151" s="183" t="str">
        <f>IF(COUNTA(CCTSAS[[#This Row],[Nom]:[heures annuelles
selon contrat(s)]])=0,"",REVEX!$E$9)</f>
        <v/>
      </c>
      <c r="AI151" s="72" t="str">
        <f>IF(CCTSAS[[#This Row],[Allocation fonctions]]="","",IF(ISNA(VLOOKUP(CCTSAS[[#This Row],[Allocation fonctions]],DROPDOWN[Dropdown82],1,FALSE))=TRUE,"Veuillez utiliser les allocations parmis la liste déroulante.",""))</f>
        <v/>
      </c>
    </row>
    <row r="152" spans="1:35" x14ac:dyDescent="0.25">
      <c r="A152" s="72" t="str">
        <f>IF(CCTSAS[[#This Row],[Carrière]]="","",IF(ISNA(VLOOKUP(CCTSAS[[#This Row],[Carrière]],DROPDOWN[Dropdown9],1,FALSE))=TRUE,"Carrière: Utiliser la liste déroulante",""))</f>
        <v/>
      </c>
      <c r="B152" s="554" t="str">
        <f>IF(CCTSAS[[#This Row],[Matricule]]="","",MAX($B$7:B151)+1)</f>
        <v/>
      </c>
      <c r="C152" s="8"/>
      <c r="D152" s="8"/>
      <c r="E152" s="20"/>
      <c r="F152" s="63"/>
      <c r="G152" s="8"/>
      <c r="H152" s="8"/>
      <c r="I152" s="10"/>
      <c r="J152" s="10"/>
      <c r="K152" s="9"/>
      <c r="L152" s="9"/>
      <c r="M152" s="9"/>
      <c r="N15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2" s="660"/>
      <c r="P152" s="660"/>
      <c r="Q152" s="461"/>
      <c r="R152" s="381"/>
      <c r="S152" s="37"/>
      <c r="T152" s="37"/>
      <c r="U152" s="37"/>
      <c r="V152" s="37"/>
      <c r="W152" s="37"/>
      <c r="X152" s="37"/>
      <c r="Y15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2" s="37"/>
      <c r="AA152" s="662" t="str">
        <f>IF(COUNTA(CCTSAS[[#This Row],[Nom]:[heures annuelles
selon contrat(s)]])=0,"",CCTSAS[[#This Row],[Total global]]-ABS(CCTSAS[[#This Row],[Dont non opposable]]))</f>
        <v/>
      </c>
      <c r="AB152" s="8"/>
      <c r="AC152" s="63"/>
      <c r="AD152" s="428"/>
      <c r="AE152" s="428"/>
      <c r="AF152" s="428"/>
      <c r="AG152" s="43"/>
      <c r="AH152" s="183" t="str">
        <f>IF(COUNTA(CCTSAS[[#This Row],[Nom]:[heures annuelles
selon contrat(s)]])=0,"",REVEX!$E$9)</f>
        <v/>
      </c>
      <c r="AI152" s="72" t="str">
        <f>IF(CCTSAS[[#This Row],[Allocation fonctions]]="","",IF(ISNA(VLOOKUP(CCTSAS[[#This Row],[Allocation fonctions]],DROPDOWN[Dropdown82],1,FALSE))=TRUE,"Veuillez utiliser les allocations parmis la liste déroulante.",""))</f>
        <v/>
      </c>
    </row>
    <row r="153" spans="1:35" x14ac:dyDescent="0.25">
      <c r="A153" s="72" t="str">
        <f>IF(CCTSAS[[#This Row],[Carrière]]="","",IF(ISNA(VLOOKUP(CCTSAS[[#This Row],[Carrière]],DROPDOWN[Dropdown9],1,FALSE))=TRUE,"Carrière: Utiliser la liste déroulante",""))</f>
        <v/>
      </c>
      <c r="B153" s="554" t="str">
        <f>IF(CCTSAS[[#This Row],[Matricule]]="","",MAX($B$7:B152)+1)</f>
        <v/>
      </c>
      <c r="C153" s="8"/>
      <c r="D153" s="8"/>
      <c r="E153" s="20"/>
      <c r="F153" s="63"/>
      <c r="G153" s="8"/>
      <c r="H153" s="8"/>
      <c r="I153" s="10"/>
      <c r="J153" s="10"/>
      <c r="K153" s="9"/>
      <c r="L153" s="9"/>
      <c r="M153" s="9"/>
      <c r="N15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3" s="660"/>
      <c r="P153" s="660"/>
      <c r="Q153" s="461"/>
      <c r="R153" s="381"/>
      <c r="S153" s="37"/>
      <c r="T153" s="37"/>
      <c r="U153" s="37"/>
      <c r="V153" s="37"/>
      <c r="W153" s="37"/>
      <c r="X153" s="37"/>
      <c r="Y15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3" s="37"/>
      <c r="AA153" s="662" t="str">
        <f>IF(COUNTA(CCTSAS[[#This Row],[Nom]:[heures annuelles
selon contrat(s)]])=0,"",CCTSAS[[#This Row],[Total global]]-ABS(CCTSAS[[#This Row],[Dont non opposable]]))</f>
        <v/>
      </c>
      <c r="AB153" s="8"/>
      <c r="AC153" s="63"/>
      <c r="AD153" s="428"/>
      <c r="AE153" s="428"/>
      <c r="AF153" s="428"/>
      <c r="AG153" s="43"/>
      <c r="AH153" s="183" t="str">
        <f>IF(COUNTA(CCTSAS[[#This Row],[Nom]:[heures annuelles
selon contrat(s)]])=0,"",REVEX!$E$9)</f>
        <v/>
      </c>
      <c r="AI153" s="72" t="str">
        <f>IF(CCTSAS[[#This Row],[Allocation fonctions]]="","",IF(ISNA(VLOOKUP(CCTSAS[[#This Row],[Allocation fonctions]],DROPDOWN[Dropdown82],1,FALSE))=TRUE,"Veuillez utiliser les allocations parmis la liste déroulante.",""))</f>
        <v/>
      </c>
    </row>
    <row r="154" spans="1:35" x14ac:dyDescent="0.25">
      <c r="A154" s="72" t="str">
        <f>IF(CCTSAS[[#This Row],[Carrière]]="","",IF(ISNA(VLOOKUP(CCTSAS[[#This Row],[Carrière]],DROPDOWN[Dropdown9],1,FALSE))=TRUE,"Carrière: Utiliser la liste déroulante",""))</f>
        <v/>
      </c>
      <c r="B154" s="554" t="str">
        <f>IF(CCTSAS[[#This Row],[Matricule]]="","",MAX($B$7:B153)+1)</f>
        <v/>
      </c>
      <c r="C154" s="8"/>
      <c r="D154" s="8"/>
      <c r="E154" s="20"/>
      <c r="F154" s="63"/>
      <c r="G154" s="8"/>
      <c r="H154" s="8"/>
      <c r="I154" s="10"/>
      <c r="J154" s="10"/>
      <c r="K154" s="9"/>
      <c r="L154" s="9"/>
      <c r="M154" s="9"/>
      <c r="N15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4" s="660"/>
      <c r="P154" s="660"/>
      <c r="Q154" s="461"/>
      <c r="R154" s="381"/>
      <c r="S154" s="37"/>
      <c r="T154" s="37"/>
      <c r="U154" s="37"/>
      <c r="V154" s="37"/>
      <c r="W154" s="37"/>
      <c r="X154" s="37"/>
      <c r="Y15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4" s="37"/>
      <c r="AA154" s="662" t="str">
        <f>IF(COUNTA(CCTSAS[[#This Row],[Nom]:[heures annuelles
selon contrat(s)]])=0,"",CCTSAS[[#This Row],[Total global]]-ABS(CCTSAS[[#This Row],[Dont non opposable]]))</f>
        <v/>
      </c>
      <c r="AB154" s="8"/>
      <c r="AC154" s="63"/>
      <c r="AD154" s="428"/>
      <c r="AE154" s="428"/>
      <c r="AF154" s="428"/>
      <c r="AG154" s="43"/>
      <c r="AH154" s="183" t="str">
        <f>IF(COUNTA(CCTSAS[[#This Row],[Nom]:[heures annuelles
selon contrat(s)]])=0,"",REVEX!$E$9)</f>
        <v/>
      </c>
      <c r="AI154" s="72" t="str">
        <f>IF(CCTSAS[[#This Row],[Allocation fonctions]]="","",IF(ISNA(VLOOKUP(CCTSAS[[#This Row],[Allocation fonctions]],DROPDOWN[Dropdown82],1,FALSE))=TRUE,"Veuillez utiliser les allocations parmis la liste déroulante.",""))</f>
        <v/>
      </c>
    </row>
    <row r="155" spans="1:35" x14ac:dyDescent="0.25">
      <c r="A155" s="72" t="str">
        <f>IF(CCTSAS[[#This Row],[Carrière]]="","",IF(ISNA(VLOOKUP(CCTSAS[[#This Row],[Carrière]],DROPDOWN[Dropdown9],1,FALSE))=TRUE,"Carrière: Utiliser la liste déroulante",""))</f>
        <v/>
      </c>
      <c r="B155" s="554" t="str">
        <f>IF(CCTSAS[[#This Row],[Matricule]]="","",MAX($B$7:B154)+1)</f>
        <v/>
      </c>
      <c r="C155" s="8"/>
      <c r="D155" s="8"/>
      <c r="E155" s="20"/>
      <c r="F155" s="63"/>
      <c r="G155" s="8"/>
      <c r="H155" s="8"/>
      <c r="I155" s="10"/>
      <c r="J155" s="10"/>
      <c r="K155" s="9"/>
      <c r="L155" s="9"/>
      <c r="M155" s="9"/>
      <c r="N15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5" s="660"/>
      <c r="P155" s="660"/>
      <c r="Q155" s="461"/>
      <c r="R155" s="381"/>
      <c r="S155" s="37"/>
      <c r="T155" s="37"/>
      <c r="U155" s="37"/>
      <c r="V155" s="37"/>
      <c r="W155" s="37"/>
      <c r="X155" s="37"/>
      <c r="Y15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5" s="37"/>
      <c r="AA155" s="662" t="str">
        <f>IF(COUNTA(CCTSAS[[#This Row],[Nom]:[heures annuelles
selon contrat(s)]])=0,"",CCTSAS[[#This Row],[Total global]]-ABS(CCTSAS[[#This Row],[Dont non opposable]]))</f>
        <v/>
      </c>
      <c r="AB155" s="8"/>
      <c r="AC155" s="63"/>
      <c r="AD155" s="428"/>
      <c r="AE155" s="428"/>
      <c r="AF155" s="428"/>
      <c r="AG155" s="43"/>
      <c r="AH155" s="183" t="str">
        <f>IF(COUNTA(CCTSAS[[#This Row],[Nom]:[heures annuelles
selon contrat(s)]])=0,"",REVEX!$E$9)</f>
        <v/>
      </c>
      <c r="AI155" s="72" t="str">
        <f>IF(CCTSAS[[#This Row],[Allocation fonctions]]="","",IF(ISNA(VLOOKUP(CCTSAS[[#This Row],[Allocation fonctions]],DROPDOWN[Dropdown82],1,FALSE))=TRUE,"Veuillez utiliser les allocations parmis la liste déroulante.",""))</f>
        <v/>
      </c>
    </row>
    <row r="156" spans="1:35" x14ac:dyDescent="0.25">
      <c r="A156" s="72" t="str">
        <f>IF(CCTSAS[[#This Row],[Carrière]]="","",IF(ISNA(VLOOKUP(CCTSAS[[#This Row],[Carrière]],DROPDOWN[Dropdown9],1,FALSE))=TRUE,"Carrière: Utiliser la liste déroulante",""))</f>
        <v/>
      </c>
      <c r="B156" s="554" t="str">
        <f>IF(CCTSAS[[#This Row],[Matricule]]="","",MAX($B$7:B155)+1)</f>
        <v/>
      </c>
      <c r="C156" s="8"/>
      <c r="D156" s="8"/>
      <c r="E156" s="20"/>
      <c r="F156" s="63"/>
      <c r="G156" s="8"/>
      <c r="H156" s="8"/>
      <c r="I156" s="10"/>
      <c r="J156" s="10"/>
      <c r="K156" s="9"/>
      <c r="L156" s="9"/>
      <c r="M156" s="9"/>
      <c r="N15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6" s="660"/>
      <c r="P156" s="660"/>
      <c r="Q156" s="461"/>
      <c r="R156" s="381"/>
      <c r="S156" s="37"/>
      <c r="T156" s="37"/>
      <c r="U156" s="37"/>
      <c r="V156" s="37"/>
      <c r="W156" s="37"/>
      <c r="X156" s="37"/>
      <c r="Y15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6" s="37"/>
      <c r="AA156" s="662" t="str">
        <f>IF(COUNTA(CCTSAS[[#This Row],[Nom]:[heures annuelles
selon contrat(s)]])=0,"",CCTSAS[[#This Row],[Total global]]-ABS(CCTSAS[[#This Row],[Dont non opposable]]))</f>
        <v/>
      </c>
      <c r="AB156" s="8"/>
      <c r="AC156" s="63"/>
      <c r="AD156" s="428"/>
      <c r="AE156" s="428"/>
      <c r="AF156" s="428"/>
      <c r="AG156" s="43"/>
      <c r="AH156" s="183" t="str">
        <f>IF(COUNTA(CCTSAS[[#This Row],[Nom]:[heures annuelles
selon contrat(s)]])=0,"",REVEX!$E$9)</f>
        <v/>
      </c>
      <c r="AI156" s="72" t="str">
        <f>IF(CCTSAS[[#This Row],[Allocation fonctions]]="","",IF(ISNA(VLOOKUP(CCTSAS[[#This Row],[Allocation fonctions]],DROPDOWN[Dropdown82],1,FALSE))=TRUE,"Veuillez utiliser les allocations parmis la liste déroulante.",""))</f>
        <v/>
      </c>
    </row>
    <row r="157" spans="1:35" x14ac:dyDescent="0.25">
      <c r="A157" s="72" t="str">
        <f>IF(CCTSAS[[#This Row],[Carrière]]="","",IF(ISNA(VLOOKUP(CCTSAS[[#This Row],[Carrière]],DROPDOWN[Dropdown9],1,FALSE))=TRUE,"Carrière: Utiliser la liste déroulante",""))</f>
        <v/>
      </c>
      <c r="B157" s="554" t="str">
        <f>IF(CCTSAS[[#This Row],[Matricule]]="","",MAX($B$7:B156)+1)</f>
        <v/>
      </c>
      <c r="C157" s="8"/>
      <c r="D157" s="8"/>
      <c r="E157" s="20"/>
      <c r="F157" s="63"/>
      <c r="G157" s="8"/>
      <c r="H157" s="8"/>
      <c r="I157" s="10"/>
      <c r="J157" s="10"/>
      <c r="K157" s="9"/>
      <c r="L157" s="9"/>
      <c r="M157" s="9"/>
      <c r="N15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7" s="660"/>
      <c r="P157" s="660"/>
      <c r="Q157" s="461"/>
      <c r="R157" s="381"/>
      <c r="S157" s="37"/>
      <c r="T157" s="37"/>
      <c r="U157" s="37"/>
      <c r="V157" s="37"/>
      <c r="W157" s="37"/>
      <c r="X157" s="37"/>
      <c r="Y15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7" s="37"/>
      <c r="AA157" s="662" t="str">
        <f>IF(COUNTA(CCTSAS[[#This Row],[Nom]:[heures annuelles
selon contrat(s)]])=0,"",CCTSAS[[#This Row],[Total global]]-ABS(CCTSAS[[#This Row],[Dont non opposable]]))</f>
        <v/>
      </c>
      <c r="AB157" s="8"/>
      <c r="AC157" s="63"/>
      <c r="AD157" s="428"/>
      <c r="AE157" s="428"/>
      <c r="AF157" s="428"/>
      <c r="AG157" s="43"/>
      <c r="AH157" s="183" t="str">
        <f>IF(COUNTA(CCTSAS[[#This Row],[Nom]:[heures annuelles
selon contrat(s)]])=0,"",REVEX!$E$9)</f>
        <v/>
      </c>
      <c r="AI157" s="72" t="str">
        <f>IF(CCTSAS[[#This Row],[Allocation fonctions]]="","",IF(ISNA(VLOOKUP(CCTSAS[[#This Row],[Allocation fonctions]],DROPDOWN[Dropdown82],1,FALSE))=TRUE,"Veuillez utiliser les allocations parmis la liste déroulante.",""))</f>
        <v/>
      </c>
    </row>
    <row r="158" spans="1:35" x14ac:dyDescent="0.25">
      <c r="A158" s="72" t="str">
        <f>IF(CCTSAS[[#This Row],[Carrière]]="","",IF(ISNA(VLOOKUP(CCTSAS[[#This Row],[Carrière]],DROPDOWN[Dropdown9],1,FALSE))=TRUE,"Carrière: Utiliser la liste déroulante",""))</f>
        <v/>
      </c>
      <c r="B158" s="554" t="str">
        <f>IF(CCTSAS[[#This Row],[Matricule]]="","",MAX($B$7:B157)+1)</f>
        <v/>
      </c>
      <c r="C158" s="8"/>
      <c r="D158" s="8"/>
      <c r="E158" s="20"/>
      <c r="F158" s="63"/>
      <c r="G158" s="8"/>
      <c r="H158" s="8"/>
      <c r="I158" s="10"/>
      <c r="J158" s="10"/>
      <c r="K158" s="9"/>
      <c r="L158" s="9"/>
      <c r="M158" s="9"/>
      <c r="N15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8" s="660"/>
      <c r="P158" s="660"/>
      <c r="Q158" s="461"/>
      <c r="R158" s="381"/>
      <c r="S158" s="37"/>
      <c r="T158" s="37"/>
      <c r="U158" s="37"/>
      <c r="V158" s="37"/>
      <c r="W158" s="37"/>
      <c r="X158" s="37"/>
      <c r="Y15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8" s="37"/>
      <c r="AA158" s="662" t="str">
        <f>IF(COUNTA(CCTSAS[[#This Row],[Nom]:[heures annuelles
selon contrat(s)]])=0,"",CCTSAS[[#This Row],[Total global]]-ABS(CCTSAS[[#This Row],[Dont non opposable]]))</f>
        <v/>
      </c>
      <c r="AB158" s="8"/>
      <c r="AC158" s="63"/>
      <c r="AD158" s="428"/>
      <c r="AE158" s="428"/>
      <c r="AF158" s="428"/>
      <c r="AG158" s="43"/>
      <c r="AH158" s="183" t="str">
        <f>IF(COUNTA(CCTSAS[[#This Row],[Nom]:[heures annuelles
selon contrat(s)]])=0,"",REVEX!$E$9)</f>
        <v/>
      </c>
      <c r="AI158" s="72" t="str">
        <f>IF(CCTSAS[[#This Row],[Allocation fonctions]]="","",IF(ISNA(VLOOKUP(CCTSAS[[#This Row],[Allocation fonctions]],DROPDOWN[Dropdown82],1,FALSE))=TRUE,"Veuillez utiliser les allocations parmis la liste déroulante.",""))</f>
        <v/>
      </c>
    </row>
    <row r="159" spans="1:35" x14ac:dyDescent="0.25">
      <c r="A159" s="72" t="str">
        <f>IF(CCTSAS[[#This Row],[Carrière]]="","",IF(ISNA(VLOOKUP(CCTSAS[[#This Row],[Carrière]],DROPDOWN[Dropdown9],1,FALSE))=TRUE,"Carrière: Utiliser la liste déroulante",""))</f>
        <v/>
      </c>
      <c r="B159" s="554" t="str">
        <f>IF(CCTSAS[[#This Row],[Matricule]]="","",MAX($B$7:B158)+1)</f>
        <v/>
      </c>
      <c r="C159" s="8"/>
      <c r="D159" s="8"/>
      <c r="E159" s="20"/>
      <c r="F159" s="63"/>
      <c r="G159" s="8"/>
      <c r="H159" s="8"/>
      <c r="I159" s="10"/>
      <c r="J159" s="10"/>
      <c r="K159" s="9"/>
      <c r="L159" s="9"/>
      <c r="M159" s="9"/>
      <c r="N15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59" s="660"/>
      <c r="P159" s="660"/>
      <c r="Q159" s="461"/>
      <c r="R159" s="381"/>
      <c r="S159" s="37"/>
      <c r="T159" s="37"/>
      <c r="U159" s="37"/>
      <c r="V159" s="37"/>
      <c r="W159" s="37"/>
      <c r="X159" s="37"/>
      <c r="Y15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59" s="37"/>
      <c r="AA159" s="662" t="str">
        <f>IF(COUNTA(CCTSAS[[#This Row],[Nom]:[heures annuelles
selon contrat(s)]])=0,"",CCTSAS[[#This Row],[Total global]]-ABS(CCTSAS[[#This Row],[Dont non opposable]]))</f>
        <v/>
      </c>
      <c r="AB159" s="8"/>
      <c r="AC159" s="63"/>
      <c r="AD159" s="428"/>
      <c r="AE159" s="428"/>
      <c r="AF159" s="428"/>
      <c r="AG159" s="43"/>
      <c r="AH159" s="183" t="str">
        <f>IF(COUNTA(CCTSAS[[#This Row],[Nom]:[heures annuelles
selon contrat(s)]])=0,"",REVEX!$E$9)</f>
        <v/>
      </c>
      <c r="AI159" s="72" t="str">
        <f>IF(CCTSAS[[#This Row],[Allocation fonctions]]="","",IF(ISNA(VLOOKUP(CCTSAS[[#This Row],[Allocation fonctions]],DROPDOWN[Dropdown82],1,FALSE))=TRUE,"Veuillez utiliser les allocations parmis la liste déroulante.",""))</f>
        <v/>
      </c>
    </row>
    <row r="160" spans="1:35" x14ac:dyDescent="0.25">
      <c r="A160" s="72" t="str">
        <f>IF(CCTSAS[[#This Row],[Carrière]]="","",IF(ISNA(VLOOKUP(CCTSAS[[#This Row],[Carrière]],DROPDOWN[Dropdown9],1,FALSE))=TRUE,"Carrière: Utiliser la liste déroulante",""))</f>
        <v/>
      </c>
      <c r="B160" s="554" t="str">
        <f>IF(CCTSAS[[#This Row],[Matricule]]="","",MAX($B$7:B159)+1)</f>
        <v/>
      </c>
      <c r="C160" s="8"/>
      <c r="D160" s="8"/>
      <c r="E160" s="20"/>
      <c r="F160" s="63"/>
      <c r="G160" s="8"/>
      <c r="H160" s="8"/>
      <c r="I160" s="10"/>
      <c r="J160" s="10"/>
      <c r="K160" s="9"/>
      <c r="L160" s="9"/>
      <c r="M160" s="9"/>
      <c r="N16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0" s="660"/>
      <c r="P160" s="660"/>
      <c r="Q160" s="461"/>
      <c r="R160" s="381"/>
      <c r="S160" s="37"/>
      <c r="T160" s="37"/>
      <c r="U160" s="37"/>
      <c r="V160" s="37"/>
      <c r="W160" s="37"/>
      <c r="X160" s="37"/>
      <c r="Y16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0" s="37"/>
      <c r="AA160" s="662" t="str">
        <f>IF(COUNTA(CCTSAS[[#This Row],[Nom]:[heures annuelles
selon contrat(s)]])=0,"",CCTSAS[[#This Row],[Total global]]-ABS(CCTSAS[[#This Row],[Dont non opposable]]))</f>
        <v/>
      </c>
      <c r="AB160" s="8"/>
      <c r="AC160" s="63"/>
      <c r="AD160" s="428"/>
      <c r="AE160" s="428"/>
      <c r="AF160" s="428"/>
      <c r="AG160" s="43"/>
      <c r="AH160" s="183" t="str">
        <f>IF(COUNTA(CCTSAS[[#This Row],[Nom]:[heures annuelles
selon contrat(s)]])=0,"",REVEX!$E$9)</f>
        <v/>
      </c>
      <c r="AI160" s="72" t="str">
        <f>IF(CCTSAS[[#This Row],[Allocation fonctions]]="","",IF(ISNA(VLOOKUP(CCTSAS[[#This Row],[Allocation fonctions]],DROPDOWN[Dropdown82],1,FALSE))=TRUE,"Veuillez utiliser les allocations parmis la liste déroulante.",""))</f>
        <v/>
      </c>
    </row>
    <row r="161" spans="1:35" x14ac:dyDescent="0.25">
      <c r="A161" s="72" t="str">
        <f>IF(CCTSAS[[#This Row],[Carrière]]="","",IF(ISNA(VLOOKUP(CCTSAS[[#This Row],[Carrière]],DROPDOWN[Dropdown9],1,FALSE))=TRUE,"Carrière: Utiliser la liste déroulante",""))</f>
        <v/>
      </c>
      <c r="B161" s="554" t="str">
        <f>IF(CCTSAS[[#This Row],[Matricule]]="","",MAX($B$7:B160)+1)</f>
        <v/>
      </c>
      <c r="C161" s="8"/>
      <c r="D161" s="8"/>
      <c r="E161" s="20"/>
      <c r="F161" s="63"/>
      <c r="G161" s="8"/>
      <c r="H161" s="8"/>
      <c r="I161" s="10"/>
      <c r="J161" s="10"/>
      <c r="K161" s="9"/>
      <c r="L161" s="9"/>
      <c r="M161" s="9"/>
      <c r="N16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1" s="660"/>
      <c r="P161" s="660"/>
      <c r="Q161" s="461"/>
      <c r="R161" s="381"/>
      <c r="S161" s="37"/>
      <c r="T161" s="37"/>
      <c r="U161" s="37"/>
      <c r="V161" s="37"/>
      <c r="W161" s="37"/>
      <c r="X161" s="37"/>
      <c r="Y16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1" s="37"/>
      <c r="AA161" s="662" t="str">
        <f>IF(COUNTA(CCTSAS[[#This Row],[Nom]:[heures annuelles
selon contrat(s)]])=0,"",CCTSAS[[#This Row],[Total global]]-ABS(CCTSAS[[#This Row],[Dont non opposable]]))</f>
        <v/>
      </c>
      <c r="AB161" s="8"/>
      <c r="AC161" s="63"/>
      <c r="AD161" s="428"/>
      <c r="AE161" s="428"/>
      <c r="AF161" s="428"/>
      <c r="AG161" s="43"/>
      <c r="AH161" s="183" t="str">
        <f>IF(COUNTA(CCTSAS[[#This Row],[Nom]:[heures annuelles
selon contrat(s)]])=0,"",REVEX!$E$9)</f>
        <v/>
      </c>
      <c r="AI161" s="72" t="str">
        <f>IF(CCTSAS[[#This Row],[Allocation fonctions]]="","",IF(ISNA(VLOOKUP(CCTSAS[[#This Row],[Allocation fonctions]],DROPDOWN[Dropdown82],1,FALSE))=TRUE,"Veuillez utiliser les allocations parmis la liste déroulante.",""))</f>
        <v/>
      </c>
    </row>
    <row r="162" spans="1:35" x14ac:dyDescent="0.25">
      <c r="A162" s="72" t="str">
        <f>IF(CCTSAS[[#This Row],[Carrière]]="","",IF(ISNA(VLOOKUP(CCTSAS[[#This Row],[Carrière]],DROPDOWN[Dropdown9],1,FALSE))=TRUE,"Carrière: Utiliser la liste déroulante",""))</f>
        <v/>
      </c>
      <c r="B162" s="554" t="str">
        <f>IF(CCTSAS[[#This Row],[Matricule]]="","",MAX($B$7:B161)+1)</f>
        <v/>
      </c>
      <c r="C162" s="8"/>
      <c r="D162" s="8"/>
      <c r="E162" s="20"/>
      <c r="F162" s="63"/>
      <c r="G162" s="8"/>
      <c r="H162" s="8"/>
      <c r="I162" s="10"/>
      <c r="J162" s="10"/>
      <c r="K162" s="9"/>
      <c r="L162" s="9"/>
      <c r="M162" s="9"/>
      <c r="N16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2" s="660"/>
      <c r="P162" s="660"/>
      <c r="Q162" s="461"/>
      <c r="R162" s="381"/>
      <c r="S162" s="37"/>
      <c r="T162" s="37"/>
      <c r="U162" s="37"/>
      <c r="V162" s="37"/>
      <c r="W162" s="37"/>
      <c r="X162" s="37"/>
      <c r="Y16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2" s="37"/>
      <c r="AA162" s="662" t="str">
        <f>IF(COUNTA(CCTSAS[[#This Row],[Nom]:[heures annuelles
selon contrat(s)]])=0,"",CCTSAS[[#This Row],[Total global]]-ABS(CCTSAS[[#This Row],[Dont non opposable]]))</f>
        <v/>
      </c>
      <c r="AB162" s="8"/>
      <c r="AC162" s="63"/>
      <c r="AD162" s="428"/>
      <c r="AE162" s="428"/>
      <c r="AF162" s="428"/>
      <c r="AG162" s="43"/>
      <c r="AH162" s="183" t="str">
        <f>IF(COUNTA(CCTSAS[[#This Row],[Nom]:[heures annuelles
selon contrat(s)]])=0,"",REVEX!$E$9)</f>
        <v/>
      </c>
      <c r="AI162" s="72" t="str">
        <f>IF(CCTSAS[[#This Row],[Allocation fonctions]]="","",IF(ISNA(VLOOKUP(CCTSAS[[#This Row],[Allocation fonctions]],DROPDOWN[Dropdown82],1,FALSE))=TRUE,"Veuillez utiliser les allocations parmis la liste déroulante.",""))</f>
        <v/>
      </c>
    </row>
    <row r="163" spans="1:35" x14ac:dyDescent="0.25">
      <c r="A163" s="72" t="str">
        <f>IF(CCTSAS[[#This Row],[Carrière]]="","",IF(ISNA(VLOOKUP(CCTSAS[[#This Row],[Carrière]],DROPDOWN[Dropdown9],1,FALSE))=TRUE,"Carrière: Utiliser la liste déroulante",""))</f>
        <v/>
      </c>
      <c r="B163" s="554" t="str">
        <f>IF(CCTSAS[[#This Row],[Matricule]]="","",MAX($B$7:B162)+1)</f>
        <v/>
      </c>
      <c r="C163" s="8"/>
      <c r="D163" s="8"/>
      <c r="E163" s="20"/>
      <c r="F163" s="63"/>
      <c r="G163" s="8"/>
      <c r="H163" s="8"/>
      <c r="I163" s="10"/>
      <c r="J163" s="10"/>
      <c r="K163" s="9"/>
      <c r="L163" s="9"/>
      <c r="M163" s="9"/>
      <c r="N16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3" s="660"/>
      <c r="P163" s="660"/>
      <c r="Q163" s="461"/>
      <c r="R163" s="381"/>
      <c r="S163" s="37"/>
      <c r="T163" s="37"/>
      <c r="U163" s="37"/>
      <c r="V163" s="37"/>
      <c r="W163" s="37"/>
      <c r="X163" s="37"/>
      <c r="Y16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3" s="37"/>
      <c r="AA163" s="662" t="str">
        <f>IF(COUNTA(CCTSAS[[#This Row],[Nom]:[heures annuelles
selon contrat(s)]])=0,"",CCTSAS[[#This Row],[Total global]]-ABS(CCTSAS[[#This Row],[Dont non opposable]]))</f>
        <v/>
      </c>
      <c r="AB163" s="8"/>
      <c r="AC163" s="63"/>
      <c r="AD163" s="428"/>
      <c r="AE163" s="428"/>
      <c r="AF163" s="428"/>
      <c r="AG163" s="43"/>
      <c r="AH163" s="183" t="str">
        <f>IF(COUNTA(CCTSAS[[#This Row],[Nom]:[heures annuelles
selon contrat(s)]])=0,"",REVEX!$E$9)</f>
        <v/>
      </c>
      <c r="AI163" s="72" t="str">
        <f>IF(CCTSAS[[#This Row],[Allocation fonctions]]="","",IF(ISNA(VLOOKUP(CCTSAS[[#This Row],[Allocation fonctions]],DROPDOWN[Dropdown82],1,FALSE))=TRUE,"Veuillez utiliser les allocations parmis la liste déroulante.",""))</f>
        <v/>
      </c>
    </row>
    <row r="164" spans="1:35" x14ac:dyDescent="0.25">
      <c r="A164" s="72" t="str">
        <f>IF(CCTSAS[[#This Row],[Carrière]]="","",IF(ISNA(VLOOKUP(CCTSAS[[#This Row],[Carrière]],DROPDOWN[Dropdown9],1,FALSE))=TRUE,"Carrière: Utiliser la liste déroulante",""))</f>
        <v/>
      </c>
      <c r="B164" s="554" t="str">
        <f>IF(CCTSAS[[#This Row],[Matricule]]="","",MAX($B$7:B163)+1)</f>
        <v/>
      </c>
      <c r="C164" s="8"/>
      <c r="D164" s="8"/>
      <c r="E164" s="20"/>
      <c r="F164" s="63"/>
      <c r="G164" s="8"/>
      <c r="H164" s="8"/>
      <c r="I164" s="10"/>
      <c r="J164" s="10"/>
      <c r="K164" s="9"/>
      <c r="L164" s="9"/>
      <c r="M164" s="9"/>
      <c r="N16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4" s="660"/>
      <c r="P164" s="660"/>
      <c r="Q164" s="461"/>
      <c r="R164" s="381"/>
      <c r="S164" s="37"/>
      <c r="T164" s="37"/>
      <c r="U164" s="37"/>
      <c r="V164" s="37"/>
      <c r="W164" s="37"/>
      <c r="X164" s="37"/>
      <c r="Y16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4" s="37"/>
      <c r="AA164" s="662" t="str">
        <f>IF(COUNTA(CCTSAS[[#This Row],[Nom]:[heures annuelles
selon contrat(s)]])=0,"",CCTSAS[[#This Row],[Total global]]-ABS(CCTSAS[[#This Row],[Dont non opposable]]))</f>
        <v/>
      </c>
      <c r="AB164" s="8"/>
      <c r="AC164" s="63"/>
      <c r="AD164" s="428"/>
      <c r="AE164" s="428"/>
      <c r="AF164" s="428"/>
      <c r="AG164" s="43"/>
      <c r="AH164" s="183" t="str">
        <f>IF(COUNTA(CCTSAS[[#This Row],[Nom]:[heures annuelles
selon contrat(s)]])=0,"",REVEX!$E$9)</f>
        <v/>
      </c>
      <c r="AI164" s="72" t="str">
        <f>IF(CCTSAS[[#This Row],[Allocation fonctions]]="","",IF(ISNA(VLOOKUP(CCTSAS[[#This Row],[Allocation fonctions]],DROPDOWN[Dropdown82],1,FALSE))=TRUE,"Veuillez utiliser les allocations parmis la liste déroulante.",""))</f>
        <v/>
      </c>
    </row>
    <row r="165" spans="1:35" x14ac:dyDescent="0.25">
      <c r="A165" s="72" t="str">
        <f>IF(CCTSAS[[#This Row],[Carrière]]="","",IF(ISNA(VLOOKUP(CCTSAS[[#This Row],[Carrière]],DROPDOWN[Dropdown9],1,FALSE))=TRUE,"Carrière: Utiliser la liste déroulante",""))</f>
        <v/>
      </c>
      <c r="B165" s="554" t="str">
        <f>IF(CCTSAS[[#This Row],[Matricule]]="","",MAX($B$7:B164)+1)</f>
        <v/>
      </c>
      <c r="C165" s="8"/>
      <c r="D165" s="8"/>
      <c r="E165" s="20"/>
      <c r="F165" s="63"/>
      <c r="G165" s="8"/>
      <c r="H165" s="8"/>
      <c r="I165" s="10"/>
      <c r="J165" s="10"/>
      <c r="K165" s="9"/>
      <c r="L165" s="9"/>
      <c r="M165" s="9"/>
      <c r="N16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5" s="660"/>
      <c r="P165" s="660"/>
      <c r="Q165" s="461"/>
      <c r="R165" s="381"/>
      <c r="S165" s="37"/>
      <c r="T165" s="37"/>
      <c r="U165" s="37"/>
      <c r="V165" s="37"/>
      <c r="W165" s="37"/>
      <c r="X165" s="37"/>
      <c r="Y16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5" s="37"/>
      <c r="AA165" s="662" t="str">
        <f>IF(COUNTA(CCTSAS[[#This Row],[Nom]:[heures annuelles
selon contrat(s)]])=0,"",CCTSAS[[#This Row],[Total global]]-ABS(CCTSAS[[#This Row],[Dont non opposable]]))</f>
        <v/>
      </c>
      <c r="AB165" s="8"/>
      <c r="AC165" s="63"/>
      <c r="AD165" s="428"/>
      <c r="AE165" s="428"/>
      <c r="AF165" s="428"/>
      <c r="AG165" s="43"/>
      <c r="AH165" s="183" t="str">
        <f>IF(COUNTA(CCTSAS[[#This Row],[Nom]:[heures annuelles
selon contrat(s)]])=0,"",REVEX!$E$9)</f>
        <v/>
      </c>
      <c r="AI165" s="72" t="str">
        <f>IF(CCTSAS[[#This Row],[Allocation fonctions]]="","",IF(ISNA(VLOOKUP(CCTSAS[[#This Row],[Allocation fonctions]],DROPDOWN[Dropdown82],1,FALSE))=TRUE,"Veuillez utiliser les allocations parmis la liste déroulante.",""))</f>
        <v/>
      </c>
    </row>
    <row r="166" spans="1:35" x14ac:dyDescent="0.25">
      <c r="A166" s="72" t="str">
        <f>IF(CCTSAS[[#This Row],[Carrière]]="","",IF(ISNA(VLOOKUP(CCTSAS[[#This Row],[Carrière]],DROPDOWN[Dropdown9],1,FALSE))=TRUE,"Carrière: Utiliser la liste déroulante",""))</f>
        <v/>
      </c>
      <c r="B166" s="554" t="str">
        <f>IF(CCTSAS[[#This Row],[Matricule]]="","",MAX($B$7:B165)+1)</f>
        <v/>
      </c>
      <c r="C166" s="8"/>
      <c r="D166" s="8"/>
      <c r="E166" s="20"/>
      <c r="F166" s="63"/>
      <c r="G166" s="8"/>
      <c r="H166" s="8"/>
      <c r="I166" s="10"/>
      <c r="J166" s="10"/>
      <c r="K166" s="9"/>
      <c r="L166" s="9"/>
      <c r="M166" s="9"/>
      <c r="N16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6" s="660"/>
      <c r="P166" s="660"/>
      <c r="Q166" s="461"/>
      <c r="R166" s="381"/>
      <c r="S166" s="37"/>
      <c r="T166" s="37"/>
      <c r="U166" s="37"/>
      <c r="V166" s="37"/>
      <c r="W166" s="37"/>
      <c r="X166" s="37"/>
      <c r="Y16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6" s="37"/>
      <c r="AA166" s="662" t="str">
        <f>IF(COUNTA(CCTSAS[[#This Row],[Nom]:[heures annuelles
selon contrat(s)]])=0,"",CCTSAS[[#This Row],[Total global]]-ABS(CCTSAS[[#This Row],[Dont non opposable]]))</f>
        <v/>
      </c>
      <c r="AB166" s="8"/>
      <c r="AC166" s="63"/>
      <c r="AD166" s="428"/>
      <c r="AE166" s="428"/>
      <c r="AF166" s="428"/>
      <c r="AG166" s="43"/>
      <c r="AH166" s="183" t="str">
        <f>IF(COUNTA(CCTSAS[[#This Row],[Nom]:[heures annuelles
selon contrat(s)]])=0,"",REVEX!$E$9)</f>
        <v/>
      </c>
      <c r="AI166" s="72" t="str">
        <f>IF(CCTSAS[[#This Row],[Allocation fonctions]]="","",IF(ISNA(VLOOKUP(CCTSAS[[#This Row],[Allocation fonctions]],DROPDOWN[Dropdown82],1,FALSE))=TRUE,"Veuillez utiliser les allocations parmis la liste déroulante.",""))</f>
        <v/>
      </c>
    </row>
    <row r="167" spans="1:35" x14ac:dyDescent="0.25">
      <c r="A167" s="72" t="str">
        <f>IF(CCTSAS[[#This Row],[Carrière]]="","",IF(ISNA(VLOOKUP(CCTSAS[[#This Row],[Carrière]],DROPDOWN[Dropdown9],1,FALSE))=TRUE,"Carrière: Utiliser la liste déroulante",""))</f>
        <v/>
      </c>
      <c r="B167" s="554" t="str">
        <f>IF(CCTSAS[[#This Row],[Matricule]]="","",MAX($B$7:B166)+1)</f>
        <v/>
      </c>
      <c r="C167" s="8"/>
      <c r="D167" s="8"/>
      <c r="E167" s="20"/>
      <c r="F167" s="63"/>
      <c r="G167" s="8"/>
      <c r="H167" s="8"/>
      <c r="I167" s="10"/>
      <c r="J167" s="10"/>
      <c r="K167" s="9"/>
      <c r="L167" s="9"/>
      <c r="M167" s="9"/>
      <c r="N16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7" s="660"/>
      <c r="P167" s="660"/>
      <c r="Q167" s="461"/>
      <c r="R167" s="381"/>
      <c r="S167" s="37"/>
      <c r="T167" s="37"/>
      <c r="U167" s="37"/>
      <c r="V167" s="37"/>
      <c r="W167" s="37"/>
      <c r="X167" s="37"/>
      <c r="Y16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7" s="37"/>
      <c r="AA167" s="662" t="str">
        <f>IF(COUNTA(CCTSAS[[#This Row],[Nom]:[heures annuelles
selon contrat(s)]])=0,"",CCTSAS[[#This Row],[Total global]]-ABS(CCTSAS[[#This Row],[Dont non opposable]]))</f>
        <v/>
      </c>
      <c r="AB167" s="8"/>
      <c r="AC167" s="63"/>
      <c r="AD167" s="428"/>
      <c r="AE167" s="428"/>
      <c r="AF167" s="428"/>
      <c r="AG167" s="43"/>
      <c r="AH167" s="183" t="str">
        <f>IF(COUNTA(CCTSAS[[#This Row],[Nom]:[heures annuelles
selon contrat(s)]])=0,"",REVEX!$E$9)</f>
        <v/>
      </c>
      <c r="AI167" s="72" t="str">
        <f>IF(CCTSAS[[#This Row],[Allocation fonctions]]="","",IF(ISNA(VLOOKUP(CCTSAS[[#This Row],[Allocation fonctions]],DROPDOWN[Dropdown82],1,FALSE))=TRUE,"Veuillez utiliser les allocations parmis la liste déroulante.",""))</f>
        <v/>
      </c>
    </row>
    <row r="168" spans="1:35" x14ac:dyDescent="0.25">
      <c r="A168" s="72" t="str">
        <f>IF(CCTSAS[[#This Row],[Carrière]]="","",IF(ISNA(VLOOKUP(CCTSAS[[#This Row],[Carrière]],DROPDOWN[Dropdown9],1,FALSE))=TRUE,"Carrière: Utiliser la liste déroulante",""))</f>
        <v/>
      </c>
      <c r="B168" s="554" t="str">
        <f>IF(CCTSAS[[#This Row],[Matricule]]="","",MAX($B$7:B167)+1)</f>
        <v/>
      </c>
      <c r="C168" s="8"/>
      <c r="D168" s="8"/>
      <c r="E168" s="20"/>
      <c r="F168" s="63"/>
      <c r="G168" s="8"/>
      <c r="H168" s="8"/>
      <c r="I168" s="10"/>
      <c r="J168" s="10"/>
      <c r="K168" s="9"/>
      <c r="L168" s="9"/>
      <c r="M168" s="9"/>
      <c r="N16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8" s="660"/>
      <c r="P168" s="660"/>
      <c r="Q168" s="461"/>
      <c r="R168" s="381"/>
      <c r="S168" s="37"/>
      <c r="T168" s="37"/>
      <c r="U168" s="37"/>
      <c r="V168" s="37"/>
      <c r="W168" s="37"/>
      <c r="X168" s="37"/>
      <c r="Y16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8" s="37"/>
      <c r="AA168" s="662" t="str">
        <f>IF(COUNTA(CCTSAS[[#This Row],[Nom]:[heures annuelles
selon contrat(s)]])=0,"",CCTSAS[[#This Row],[Total global]]-ABS(CCTSAS[[#This Row],[Dont non opposable]]))</f>
        <v/>
      </c>
      <c r="AB168" s="8"/>
      <c r="AC168" s="63"/>
      <c r="AD168" s="428"/>
      <c r="AE168" s="428"/>
      <c r="AF168" s="428"/>
      <c r="AG168" s="43"/>
      <c r="AH168" s="183" t="str">
        <f>IF(COUNTA(CCTSAS[[#This Row],[Nom]:[heures annuelles
selon contrat(s)]])=0,"",REVEX!$E$9)</f>
        <v/>
      </c>
      <c r="AI168" s="72" t="str">
        <f>IF(CCTSAS[[#This Row],[Allocation fonctions]]="","",IF(ISNA(VLOOKUP(CCTSAS[[#This Row],[Allocation fonctions]],DROPDOWN[Dropdown82],1,FALSE))=TRUE,"Veuillez utiliser les allocations parmis la liste déroulante.",""))</f>
        <v/>
      </c>
    </row>
    <row r="169" spans="1:35" x14ac:dyDescent="0.25">
      <c r="A169" s="72" t="str">
        <f>IF(CCTSAS[[#This Row],[Carrière]]="","",IF(ISNA(VLOOKUP(CCTSAS[[#This Row],[Carrière]],DROPDOWN[Dropdown9],1,FALSE))=TRUE,"Carrière: Utiliser la liste déroulante",""))</f>
        <v/>
      </c>
      <c r="B169" s="554" t="str">
        <f>IF(CCTSAS[[#This Row],[Matricule]]="","",MAX($B$7:B168)+1)</f>
        <v/>
      </c>
      <c r="C169" s="8"/>
      <c r="D169" s="8"/>
      <c r="E169" s="20"/>
      <c r="F169" s="63"/>
      <c r="G169" s="8"/>
      <c r="H169" s="8"/>
      <c r="I169" s="10"/>
      <c r="J169" s="10"/>
      <c r="K169" s="9"/>
      <c r="L169" s="9"/>
      <c r="M169" s="9"/>
      <c r="N16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69" s="660"/>
      <c r="P169" s="660"/>
      <c r="Q169" s="461"/>
      <c r="R169" s="381"/>
      <c r="S169" s="37"/>
      <c r="T169" s="37"/>
      <c r="U169" s="37"/>
      <c r="V169" s="37"/>
      <c r="W169" s="37"/>
      <c r="X169" s="37"/>
      <c r="Y16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69" s="37"/>
      <c r="AA169" s="662" t="str">
        <f>IF(COUNTA(CCTSAS[[#This Row],[Nom]:[heures annuelles
selon contrat(s)]])=0,"",CCTSAS[[#This Row],[Total global]]-ABS(CCTSAS[[#This Row],[Dont non opposable]]))</f>
        <v/>
      </c>
      <c r="AB169" s="8"/>
      <c r="AC169" s="63"/>
      <c r="AD169" s="428"/>
      <c r="AE169" s="428"/>
      <c r="AF169" s="428"/>
      <c r="AG169" s="43"/>
      <c r="AH169" s="183" t="str">
        <f>IF(COUNTA(CCTSAS[[#This Row],[Nom]:[heures annuelles
selon contrat(s)]])=0,"",REVEX!$E$9)</f>
        <v/>
      </c>
      <c r="AI169" s="72" t="str">
        <f>IF(CCTSAS[[#This Row],[Allocation fonctions]]="","",IF(ISNA(VLOOKUP(CCTSAS[[#This Row],[Allocation fonctions]],DROPDOWN[Dropdown82],1,FALSE))=TRUE,"Veuillez utiliser les allocations parmis la liste déroulante.",""))</f>
        <v/>
      </c>
    </row>
    <row r="170" spans="1:35" x14ac:dyDescent="0.25">
      <c r="A170" s="72" t="str">
        <f>IF(CCTSAS[[#This Row],[Carrière]]="","",IF(ISNA(VLOOKUP(CCTSAS[[#This Row],[Carrière]],DROPDOWN[Dropdown9],1,FALSE))=TRUE,"Carrière: Utiliser la liste déroulante",""))</f>
        <v/>
      </c>
      <c r="B170" s="554" t="str">
        <f>IF(CCTSAS[[#This Row],[Matricule]]="","",MAX($B$7:B169)+1)</f>
        <v/>
      </c>
      <c r="C170" s="8"/>
      <c r="D170" s="8"/>
      <c r="E170" s="20"/>
      <c r="F170" s="63"/>
      <c r="G170" s="8"/>
      <c r="H170" s="8"/>
      <c r="I170" s="10"/>
      <c r="J170" s="10"/>
      <c r="K170" s="9"/>
      <c r="L170" s="9"/>
      <c r="M170" s="9"/>
      <c r="N17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0" s="660"/>
      <c r="P170" s="660"/>
      <c r="Q170" s="461"/>
      <c r="R170" s="381"/>
      <c r="S170" s="37"/>
      <c r="T170" s="37"/>
      <c r="U170" s="37"/>
      <c r="V170" s="37"/>
      <c r="W170" s="37"/>
      <c r="X170" s="37"/>
      <c r="Y17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0" s="37"/>
      <c r="AA170" s="662" t="str">
        <f>IF(COUNTA(CCTSAS[[#This Row],[Nom]:[heures annuelles
selon contrat(s)]])=0,"",CCTSAS[[#This Row],[Total global]]-ABS(CCTSAS[[#This Row],[Dont non opposable]]))</f>
        <v/>
      </c>
      <c r="AB170" s="8"/>
      <c r="AC170" s="63"/>
      <c r="AD170" s="428"/>
      <c r="AE170" s="428"/>
      <c r="AF170" s="428"/>
      <c r="AG170" s="43"/>
      <c r="AH170" s="183" t="str">
        <f>IF(COUNTA(CCTSAS[[#This Row],[Nom]:[heures annuelles
selon contrat(s)]])=0,"",REVEX!$E$9)</f>
        <v/>
      </c>
      <c r="AI170" s="72" t="str">
        <f>IF(CCTSAS[[#This Row],[Allocation fonctions]]="","",IF(ISNA(VLOOKUP(CCTSAS[[#This Row],[Allocation fonctions]],DROPDOWN[Dropdown82],1,FALSE))=TRUE,"Veuillez utiliser les allocations parmis la liste déroulante.",""))</f>
        <v/>
      </c>
    </row>
    <row r="171" spans="1:35" x14ac:dyDescent="0.25">
      <c r="A171" s="72" t="str">
        <f>IF(CCTSAS[[#This Row],[Carrière]]="","",IF(ISNA(VLOOKUP(CCTSAS[[#This Row],[Carrière]],DROPDOWN[Dropdown9],1,FALSE))=TRUE,"Carrière: Utiliser la liste déroulante",""))</f>
        <v/>
      </c>
      <c r="B171" s="554" t="str">
        <f>IF(CCTSAS[[#This Row],[Matricule]]="","",MAX($B$7:B170)+1)</f>
        <v/>
      </c>
      <c r="C171" s="8"/>
      <c r="D171" s="8"/>
      <c r="E171" s="20"/>
      <c r="F171" s="63"/>
      <c r="G171" s="8"/>
      <c r="H171" s="8"/>
      <c r="I171" s="10"/>
      <c r="J171" s="10"/>
      <c r="K171" s="9"/>
      <c r="L171" s="9"/>
      <c r="M171" s="9"/>
      <c r="N17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1" s="660"/>
      <c r="P171" s="660"/>
      <c r="Q171" s="461"/>
      <c r="R171" s="381"/>
      <c r="S171" s="37"/>
      <c r="T171" s="37"/>
      <c r="U171" s="37"/>
      <c r="V171" s="37"/>
      <c r="W171" s="37"/>
      <c r="X171" s="37"/>
      <c r="Y17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1" s="37"/>
      <c r="AA171" s="662" t="str">
        <f>IF(COUNTA(CCTSAS[[#This Row],[Nom]:[heures annuelles
selon contrat(s)]])=0,"",CCTSAS[[#This Row],[Total global]]-ABS(CCTSAS[[#This Row],[Dont non opposable]]))</f>
        <v/>
      </c>
      <c r="AB171" s="8"/>
      <c r="AC171" s="63"/>
      <c r="AD171" s="428"/>
      <c r="AE171" s="428"/>
      <c r="AF171" s="428"/>
      <c r="AG171" s="43"/>
      <c r="AH171" s="183" t="str">
        <f>IF(COUNTA(CCTSAS[[#This Row],[Nom]:[heures annuelles
selon contrat(s)]])=0,"",REVEX!$E$9)</f>
        <v/>
      </c>
      <c r="AI171" s="72" t="str">
        <f>IF(CCTSAS[[#This Row],[Allocation fonctions]]="","",IF(ISNA(VLOOKUP(CCTSAS[[#This Row],[Allocation fonctions]],DROPDOWN[Dropdown82],1,FALSE))=TRUE,"Veuillez utiliser les allocations parmis la liste déroulante.",""))</f>
        <v/>
      </c>
    </row>
    <row r="172" spans="1:35" x14ac:dyDescent="0.25">
      <c r="A172" s="72" t="str">
        <f>IF(CCTSAS[[#This Row],[Carrière]]="","",IF(ISNA(VLOOKUP(CCTSAS[[#This Row],[Carrière]],DROPDOWN[Dropdown9],1,FALSE))=TRUE,"Carrière: Utiliser la liste déroulante",""))</f>
        <v/>
      </c>
      <c r="B172" s="554" t="str">
        <f>IF(CCTSAS[[#This Row],[Matricule]]="","",MAX($B$7:B171)+1)</f>
        <v/>
      </c>
      <c r="C172" s="8"/>
      <c r="D172" s="8"/>
      <c r="E172" s="20"/>
      <c r="F172" s="63"/>
      <c r="G172" s="8"/>
      <c r="H172" s="8"/>
      <c r="I172" s="10"/>
      <c r="J172" s="10"/>
      <c r="K172" s="9"/>
      <c r="L172" s="9"/>
      <c r="M172" s="9"/>
      <c r="N17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2" s="660"/>
      <c r="P172" s="660"/>
      <c r="Q172" s="461"/>
      <c r="R172" s="381"/>
      <c r="S172" s="37"/>
      <c r="T172" s="37"/>
      <c r="U172" s="37"/>
      <c r="V172" s="37"/>
      <c r="W172" s="37"/>
      <c r="X172" s="37"/>
      <c r="Y17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2" s="37"/>
      <c r="AA172" s="662" t="str">
        <f>IF(COUNTA(CCTSAS[[#This Row],[Nom]:[heures annuelles
selon contrat(s)]])=0,"",CCTSAS[[#This Row],[Total global]]-ABS(CCTSAS[[#This Row],[Dont non opposable]]))</f>
        <v/>
      </c>
      <c r="AB172" s="8"/>
      <c r="AC172" s="63"/>
      <c r="AD172" s="428"/>
      <c r="AE172" s="428"/>
      <c r="AF172" s="428"/>
      <c r="AG172" s="43"/>
      <c r="AH172" s="183" t="str">
        <f>IF(COUNTA(CCTSAS[[#This Row],[Nom]:[heures annuelles
selon contrat(s)]])=0,"",REVEX!$E$9)</f>
        <v/>
      </c>
      <c r="AI172" s="72" t="str">
        <f>IF(CCTSAS[[#This Row],[Allocation fonctions]]="","",IF(ISNA(VLOOKUP(CCTSAS[[#This Row],[Allocation fonctions]],DROPDOWN[Dropdown82],1,FALSE))=TRUE,"Veuillez utiliser les allocations parmis la liste déroulante.",""))</f>
        <v/>
      </c>
    </row>
    <row r="173" spans="1:35" x14ac:dyDescent="0.25">
      <c r="A173" s="72" t="str">
        <f>IF(CCTSAS[[#This Row],[Carrière]]="","",IF(ISNA(VLOOKUP(CCTSAS[[#This Row],[Carrière]],DROPDOWN[Dropdown9],1,FALSE))=TRUE,"Carrière: Utiliser la liste déroulante",""))</f>
        <v/>
      </c>
      <c r="B173" s="554" t="str">
        <f>IF(CCTSAS[[#This Row],[Matricule]]="","",MAX($B$7:B172)+1)</f>
        <v/>
      </c>
      <c r="C173" s="8"/>
      <c r="D173" s="8"/>
      <c r="E173" s="20"/>
      <c r="F173" s="63"/>
      <c r="G173" s="8"/>
      <c r="H173" s="8"/>
      <c r="I173" s="10"/>
      <c r="J173" s="10"/>
      <c r="K173" s="9"/>
      <c r="L173" s="9"/>
      <c r="M173" s="9"/>
      <c r="N17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3" s="660"/>
      <c r="P173" s="660"/>
      <c r="Q173" s="461"/>
      <c r="R173" s="381"/>
      <c r="S173" s="37"/>
      <c r="T173" s="37"/>
      <c r="U173" s="37"/>
      <c r="V173" s="37"/>
      <c r="W173" s="37"/>
      <c r="X173" s="37"/>
      <c r="Y17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3" s="37"/>
      <c r="AA173" s="662" t="str">
        <f>IF(COUNTA(CCTSAS[[#This Row],[Nom]:[heures annuelles
selon contrat(s)]])=0,"",CCTSAS[[#This Row],[Total global]]-ABS(CCTSAS[[#This Row],[Dont non opposable]]))</f>
        <v/>
      </c>
      <c r="AB173" s="8"/>
      <c r="AC173" s="63"/>
      <c r="AD173" s="428"/>
      <c r="AE173" s="428"/>
      <c r="AF173" s="428"/>
      <c r="AG173" s="43"/>
      <c r="AH173" s="183" t="str">
        <f>IF(COUNTA(CCTSAS[[#This Row],[Nom]:[heures annuelles
selon contrat(s)]])=0,"",REVEX!$E$9)</f>
        <v/>
      </c>
      <c r="AI173" s="72" t="str">
        <f>IF(CCTSAS[[#This Row],[Allocation fonctions]]="","",IF(ISNA(VLOOKUP(CCTSAS[[#This Row],[Allocation fonctions]],DROPDOWN[Dropdown82],1,FALSE))=TRUE,"Veuillez utiliser les allocations parmis la liste déroulante.",""))</f>
        <v/>
      </c>
    </row>
    <row r="174" spans="1:35" x14ac:dyDescent="0.25">
      <c r="A174" s="72" t="str">
        <f>IF(CCTSAS[[#This Row],[Carrière]]="","",IF(ISNA(VLOOKUP(CCTSAS[[#This Row],[Carrière]],DROPDOWN[Dropdown9],1,FALSE))=TRUE,"Carrière: Utiliser la liste déroulante",""))</f>
        <v/>
      </c>
      <c r="B174" s="554" t="str">
        <f>IF(CCTSAS[[#This Row],[Matricule]]="","",MAX($B$7:B173)+1)</f>
        <v/>
      </c>
      <c r="C174" s="8"/>
      <c r="D174" s="8"/>
      <c r="E174" s="20"/>
      <c r="F174" s="63"/>
      <c r="G174" s="8"/>
      <c r="H174" s="8"/>
      <c r="I174" s="10"/>
      <c r="J174" s="10"/>
      <c r="K174" s="9"/>
      <c r="L174" s="9"/>
      <c r="M174" s="9"/>
      <c r="N17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4" s="660"/>
      <c r="P174" s="660"/>
      <c r="Q174" s="461"/>
      <c r="R174" s="381"/>
      <c r="S174" s="37"/>
      <c r="T174" s="37"/>
      <c r="U174" s="37"/>
      <c r="V174" s="37"/>
      <c r="W174" s="37"/>
      <c r="X174" s="37"/>
      <c r="Y17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4" s="37"/>
      <c r="AA174" s="662" t="str">
        <f>IF(COUNTA(CCTSAS[[#This Row],[Nom]:[heures annuelles
selon contrat(s)]])=0,"",CCTSAS[[#This Row],[Total global]]-ABS(CCTSAS[[#This Row],[Dont non opposable]]))</f>
        <v/>
      </c>
      <c r="AB174" s="8"/>
      <c r="AC174" s="63"/>
      <c r="AD174" s="428"/>
      <c r="AE174" s="428"/>
      <c r="AF174" s="428"/>
      <c r="AG174" s="43"/>
      <c r="AH174" s="183" t="str">
        <f>IF(COUNTA(CCTSAS[[#This Row],[Nom]:[heures annuelles
selon contrat(s)]])=0,"",REVEX!$E$9)</f>
        <v/>
      </c>
      <c r="AI174" s="72" t="str">
        <f>IF(CCTSAS[[#This Row],[Allocation fonctions]]="","",IF(ISNA(VLOOKUP(CCTSAS[[#This Row],[Allocation fonctions]],DROPDOWN[Dropdown82],1,FALSE))=TRUE,"Veuillez utiliser les allocations parmis la liste déroulante.",""))</f>
        <v/>
      </c>
    </row>
    <row r="175" spans="1:35" x14ac:dyDescent="0.25">
      <c r="A175" s="72" t="str">
        <f>IF(CCTSAS[[#This Row],[Carrière]]="","",IF(ISNA(VLOOKUP(CCTSAS[[#This Row],[Carrière]],DROPDOWN[Dropdown9],1,FALSE))=TRUE,"Carrière: Utiliser la liste déroulante",""))</f>
        <v/>
      </c>
      <c r="B175" s="554" t="str">
        <f>IF(CCTSAS[[#This Row],[Matricule]]="","",MAX($B$7:B174)+1)</f>
        <v/>
      </c>
      <c r="C175" s="8"/>
      <c r="D175" s="8"/>
      <c r="E175" s="20"/>
      <c r="F175" s="63"/>
      <c r="G175" s="8"/>
      <c r="H175" s="8"/>
      <c r="I175" s="10"/>
      <c r="J175" s="10"/>
      <c r="K175" s="9"/>
      <c r="L175" s="9"/>
      <c r="M175" s="9"/>
      <c r="N17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5" s="660"/>
      <c r="P175" s="660"/>
      <c r="Q175" s="461"/>
      <c r="R175" s="381"/>
      <c r="S175" s="37"/>
      <c r="T175" s="37"/>
      <c r="U175" s="37"/>
      <c r="V175" s="37"/>
      <c r="W175" s="37"/>
      <c r="X175" s="37"/>
      <c r="Y17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5" s="37"/>
      <c r="AA175" s="662" t="str">
        <f>IF(COUNTA(CCTSAS[[#This Row],[Nom]:[heures annuelles
selon contrat(s)]])=0,"",CCTSAS[[#This Row],[Total global]]-ABS(CCTSAS[[#This Row],[Dont non opposable]]))</f>
        <v/>
      </c>
      <c r="AB175" s="8"/>
      <c r="AC175" s="63"/>
      <c r="AD175" s="428"/>
      <c r="AE175" s="428"/>
      <c r="AF175" s="428"/>
      <c r="AG175" s="43"/>
      <c r="AH175" s="183" t="str">
        <f>IF(COUNTA(CCTSAS[[#This Row],[Nom]:[heures annuelles
selon contrat(s)]])=0,"",REVEX!$E$9)</f>
        <v/>
      </c>
      <c r="AI175" s="72" t="str">
        <f>IF(CCTSAS[[#This Row],[Allocation fonctions]]="","",IF(ISNA(VLOOKUP(CCTSAS[[#This Row],[Allocation fonctions]],DROPDOWN[Dropdown82],1,FALSE))=TRUE,"Veuillez utiliser les allocations parmis la liste déroulante.",""))</f>
        <v/>
      </c>
    </row>
    <row r="176" spans="1:35" x14ac:dyDescent="0.25">
      <c r="A176" s="72" t="str">
        <f>IF(CCTSAS[[#This Row],[Carrière]]="","",IF(ISNA(VLOOKUP(CCTSAS[[#This Row],[Carrière]],DROPDOWN[Dropdown9],1,FALSE))=TRUE,"Carrière: Utiliser la liste déroulante",""))</f>
        <v/>
      </c>
      <c r="B176" s="554" t="str">
        <f>IF(CCTSAS[[#This Row],[Matricule]]="","",MAX($B$7:B175)+1)</f>
        <v/>
      </c>
      <c r="C176" s="8"/>
      <c r="D176" s="8"/>
      <c r="E176" s="20"/>
      <c r="F176" s="63"/>
      <c r="G176" s="8"/>
      <c r="H176" s="8"/>
      <c r="I176" s="10"/>
      <c r="J176" s="10"/>
      <c r="K176" s="9"/>
      <c r="L176" s="9"/>
      <c r="M176" s="9"/>
      <c r="N17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6" s="660"/>
      <c r="P176" s="660"/>
      <c r="Q176" s="461"/>
      <c r="R176" s="381"/>
      <c r="S176" s="37"/>
      <c r="T176" s="37"/>
      <c r="U176" s="37"/>
      <c r="V176" s="37"/>
      <c r="W176" s="37"/>
      <c r="X176" s="37"/>
      <c r="Y17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6" s="37"/>
      <c r="AA176" s="662" t="str">
        <f>IF(COUNTA(CCTSAS[[#This Row],[Nom]:[heures annuelles
selon contrat(s)]])=0,"",CCTSAS[[#This Row],[Total global]]-ABS(CCTSAS[[#This Row],[Dont non opposable]]))</f>
        <v/>
      </c>
      <c r="AB176" s="8"/>
      <c r="AC176" s="63"/>
      <c r="AD176" s="428"/>
      <c r="AE176" s="428"/>
      <c r="AF176" s="428"/>
      <c r="AG176" s="43"/>
      <c r="AH176" s="183" t="str">
        <f>IF(COUNTA(CCTSAS[[#This Row],[Nom]:[heures annuelles
selon contrat(s)]])=0,"",REVEX!$E$9)</f>
        <v/>
      </c>
      <c r="AI176" s="72" t="str">
        <f>IF(CCTSAS[[#This Row],[Allocation fonctions]]="","",IF(ISNA(VLOOKUP(CCTSAS[[#This Row],[Allocation fonctions]],DROPDOWN[Dropdown82],1,FALSE))=TRUE,"Veuillez utiliser les allocations parmis la liste déroulante.",""))</f>
        <v/>
      </c>
    </row>
    <row r="177" spans="1:35" x14ac:dyDescent="0.25">
      <c r="A177" s="72" t="str">
        <f>IF(CCTSAS[[#This Row],[Carrière]]="","",IF(ISNA(VLOOKUP(CCTSAS[[#This Row],[Carrière]],DROPDOWN[Dropdown9],1,FALSE))=TRUE,"Carrière: Utiliser la liste déroulante",""))</f>
        <v/>
      </c>
      <c r="B177" s="554" t="str">
        <f>IF(CCTSAS[[#This Row],[Matricule]]="","",MAX($B$7:B176)+1)</f>
        <v/>
      </c>
      <c r="C177" s="8"/>
      <c r="D177" s="8"/>
      <c r="E177" s="20"/>
      <c r="F177" s="63"/>
      <c r="G177" s="8"/>
      <c r="H177" s="8"/>
      <c r="I177" s="10"/>
      <c r="J177" s="10"/>
      <c r="K177" s="9"/>
      <c r="L177" s="9"/>
      <c r="M177" s="9"/>
      <c r="N17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7" s="660"/>
      <c r="P177" s="660"/>
      <c r="Q177" s="461"/>
      <c r="R177" s="381"/>
      <c r="S177" s="37"/>
      <c r="T177" s="37"/>
      <c r="U177" s="37"/>
      <c r="V177" s="37"/>
      <c r="W177" s="37"/>
      <c r="X177" s="37"/>
      <c r="Y17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7" s="37"/>
      <c r="AA177" s="662" t="str">
        <f>IF(COUNTA(CCTSAS[[#This Row],[Nom]:[heures annuelles
selon contrat(s)]])=0,"",CCTSAS[[#This Row],[Total global]]-ABS(CCTSAS[[#This Row],[Dont non opposable]]))</f>
        <v/>
      </c>
      <c r="AB177" s="8"/>
      <c r="AC177" s="63"/>
      <c r="AD177" s="428"/>
      <c r="AE177" s="428"/>
      <c r="AF177" s="428"/>
      <c r="AG177" s="43"/>
      <c r="AH177" s="183" t="str">
        <f>IF(COUNTA(CCTSAS[[#This Row],[Nom]:[heures annuelles
selon contrat(s)]])=0,"",REVEX!$E$9)</f>
        <v/>
      </c>
      <c r="AI177" s="72" t="str">
        <f>IF(CCTSAS[[#This Row],[Allocation fonctions]]="","",IF(ISNA(VLOOKUP(CCTSAS[[#This Row],[Allocation fonctions]],DROPDOWN[Dropdown82],1,FALSE))=TRUE,"Veuillez utiliser les allocations parmis la liste déroulante.",""))</f>
        <v/>
      </c>
    </row>
    <row r="178" spans="1:35" x14ac:dyDescent="0.25">
      <c r="A178" s="72" t="str">
        <f>IF(CCTSAS[[#This Row],[Carrière]]="","",IF(ISNA(VLOOKUP(CCTSAS[[#This Row],[Carrière]],DROPDOWN[Dropdown9],1,FALSE))=TRUE,"Carrière: Utiliser la liste déroulante",""))</f>
        <v/>
      </c>
      <c r="B178" s="554" t="str">
        <f>IF(CCTSAS[[#This Row],[Matricule]]="","",MAX($B$7:B177)+1)</f>
        <v/>
      </c>
      <c r="C178" s="8"/>
      <c r="D178" s="8"/>
      <c r="E178" s="20"/>
      <c r="F178" s="63"/>
      <c r="G178" s="8"/>
      <c r="H178" s="8"/>
      <c r="I178" s="10"/>
      <c r="J178" s="10"/>
      <c r="K178" s="9"/>
      <c r="L178" s="9"/>
      <c r="M178" s="9"/>
      <c r="N17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8" s="660"/>
      <c r="P178" s="660"/>
      <c r="Q178" s="461"/>
      <c r="R178" s="381"/>
      <c r="S178" s="37"/>
      <c r="T178" s="37"/>
      <c r="U178" s="37"/>
      <c r="V178" s="37"/>
      <c r="W178" s="37"/>
      <c r="X178" s="37"/>
      <c r="Y17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8" s="37"/>
      <c r="AA178" s="662" t="str">
        <f>IF(COUNTA(CCTSAS[[#This Row],[Nom]:[heures annuelles
selon contrat(s)]])=0,"",CCTSAS[[#This Row],[Total global]]-ABS(CCTSAS[[#This Row],[Dont non opposable]]))</f>
        <v/>
      </c>
      <c r="AB178" s="8"/>
      <c r="AC178" s="63"/>
      <c r="AD178" s="428"/>
      <c r="AE178" s="428"/>
      <c r="AF178" s="428"/>
      <c r="AG178" s="43"/>
      <c r="AH178" s="183" t="str">
        <f>IF(COUNTA(CCTSAS[[#This Row],[Nom]:[heures annuelles
selon contrat(s)]])=0,"",REVEX!$E$9)</f>
        <v/>
      </c>
      <c r="AI178" s="72" t="str">
        <f>IF(CCTSAS[[#This Row],[Allocation fonctions]]="","",IF(ISNA(VLOOKUP(CCTSAS[[#This Row],[Allocation fonctions]],DROPDOWN[Dropdown82],1,FALSE))=TRUE,"Veuillez utiliser les allocations parmis la liste déroulante.",""))</f>
        <v/>
      </c>
    </row>
    <row r="179" spans="1:35" x14ac:dyDescent="0.25">
      <c r="A179" s="72" t="str">
        <f>IF(CCTSAS[[#This Row],[Carrière]]="","",IF(ISNA(VLOOKUP(CCTSAS[[#This Row],[Carrière]],DROPDOWN[Dropdown9],1,FALSE))=TRUE,"Carrière: Utiliser la liste déroulante",""))</f>
        <v/>
      </c>
      <c r="B179" s="554" t="str">
        <f>IF(CCTSAS[[#This Row],[Matricule]]="","",MAX($B$7:B178)+1)</f>
        <v/>
      </c>
      <c r="C179" s="8"/>
      <c r="D179" s="8"/>
      <c r="E179" s="20"/>
      <c r="F179" s="63"/>
      <c r="G179" s="8"/>
      <c r="H179" s="8"/>
      <c r="I179" s="10"/>
      <c r="J179" s="10"/>
      <c r="K179" s="9"/>
      <c r="L179" s="9"/>
      <c r="M179" s="9"/>
      <c r="N17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79" s="660"/>
      <c r="P179" s="660"/>
      <c r="Q179" s="461"/>
      <c r="R179" s="381"/>
      <c r="S179" s="37"/>
      <c r="T179" s="37"/>
      <c r="U179" s="37"/>
      <c r="V179" s="37"/>
      <c r="W179" s="37"/>
      <c r="X179" s="37"/>
      <c r="Y17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79" s="37"/>
      <c r="AA179" s="662" t="str">
        <f>IF(COUNTA(CCTSAS[[#This Row],[Nom]:[heures annuelles
selon contrat(s)]])=0,"",CCTSAS[[#This Row],[Total global]]-ABS(CCTSAS[[#This Row],[Dont non opposable]]))</f>
        <v/>
      </c>
      <c r="AB179" s="8"/>
      <c r="AC179" s="63"/>
      <c r="AD179" s="428"/>
      <c r="AE179" s="428"/>
      <c r="AF179" s="428"/>
      <c r="AG179" s="43"/>
      <c r="AH179" s="183" t="str">
        <f>IF(COUNTA(CCTSAS[[#This Row],[Nom]:[heures annuelles
selon contrat(s)]])=0,"",REVEX!$E$9)</f>
        <v/>
      </c>
      <c r="AI179" s="72" t="str">
        <f>IF(CCTSAS[[#This Row],[Allocation fonctions]]="","",IF(ISNA(VLOOKUP(CCTSAS[[#This Row],[Allocation fonctions]],DROPDOWN[Dropdown82],1,FALSE))=TRUE,"Veuillez utiliser les allocations parmis la liste déroulante.",""))</f>
        <v/>
      </c>
    </row>
    <row r="180" spans="1:35" x14ac:dyDescent="0.25">
      <c r="A180" s="72" t="str">
        <f>IF(CCTSAS[[#This Row],[Carrière]]="","",IF(ISNA(VLOOKUP(CCTSAS[[#This Row],[Carrière]],DROPDOWN[Dropdown9],1,FALSE))=TRUE,"Carrière: Utiliser la liste déroulante",""))</f>
        <v/>
      </c>
      <c r="B180" s="554" t="str">
        <f>IF(CCTSAS[[#This Row],[Matricule]]="","",MAX($B$7:B179)+1)</f>
        <v/>
      </c>
      <c r="C180" s="8"/>
      <c r="D180" s="8"/>
      <c r="E180" s="20"/>
      <c r="F180" s="63"/>
      <c r="G180" s="8"/>
      <c r="H180" s="8"/>
      <c r="I180" s="10"/>
      <c r="J180" s="10"/>
      <c r="K180" s="9"/>
      <c r="L180" s="9"/>
      <c r="M180" s="9"/>
      <c r="N18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0" s="660"/>
      <c r="P180" s="660"/>
      <c r="Q180" s="461"/>
      <c r="R180" s="381"/>
      <c r="S180" s="37"/>
      <c r="T180" s="37"/>
      <c r="U180" s="37"/>
      <c r="V180" s="37"/>
      <c r="W180" s="37"/>
      <c r="X180" s="37"/>
      <c r="Y18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0" s="37"/>
      <c r="AA180" s="662" t="str">
        <f>IF(COUNTA(CCTSAS[[#This Row],[Nom]:[heures annuelles
selon contrat(s)]])=0,"",CCTSAS[[#This Row],[Total global]]-ABS(CCTSAS[[#This Row],[Dont non opposable]]))</f>
        <v/>
      </c>
      <c r="AB180" s="8"/>
      <c r="AC180" s="63"/>
      <c r="AD180" s="428"/>
      <c r="AE180" s="428"/>
      <c r="AF180" s="428"/>
      <c r="AG180" s="43"/>
      <c r="AH180" s="183" t="str">
        <f>IF(COUNTA(CCTSAS[[#This Row],[Nom]:[heures annuelles
selon contrat(s)]])=0,"",REVEX!$E$9)</f>
        <v/>
      </c>
      <c r="AI180" s="72" t="str">
        <f>IF(CCTSAS[[#This Row],[Allocation fonctions]]="","",IF(ISNA(VLOOKUP(CCTSAS[[#This Row],[Allocation fonctions]],DROPDOWN[Dropdown82],1,FALSE))=TRUE,"Veuillez utiliser les allocations parmis la liste déroulante.",""))</f>
        <v/>
      </c>
    </row>
    <row r="181" spans="1:35" x14ac:dyDescent="0.25">
      <c r="A181" s="72" t="str">
        <f>IF(CCTSAS[[#This Row],[Carrière]]="","",IF(ISNA(VLOOKUP(CCTSAS[[#This Row],[Carrière]],DROPDOWN[Dropdown9],1,FALSE))=TRUE,"Carrière: Utiliser la liste déroulante",""))</f>
        <v/>
      </c>
      <c r="B181" s="554" t="str">
        <f>IF(CCTSAS[[#This Row],[Matricule]]="","",MAX($B$7:B180)+1)</f>
        <v/>
      </c>
      <c r="C181" s="8"/>
      <c r="D181" s="8"/>
      <c r="E181" s="20"/>
      <c r="F181" s="63"/>
      <c r="G181" s="8"/>
      <c r="H181" s="8"/>
      <c r="I181" s="10"/>
      <c r="J181" s="10"/>
      <c r="K181" s="9"/>
      <c r="L181" s="9"/>
      <c r="M181" s="9"/>
      <c r="N18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1" s="660"/>
      <c r="P181" s="660"/>
      <c r="Q181" s="461"/>
      <c r="R181" s="381"/>
      <c r="S181" s="37"/>
      <c r="T181" s="37"/>
      <c r="U181" s="37"/>
      <c r="V181" s="37"/>
      <c r="W181" s="37"/>
      <c r="X181" s="37"/>
      <c r="Y18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1" s="37"/>
      <c r="AA181" s="662" t="str">
        <f>IF(COUNTA(CCTSAS[[#This Row],[Nom]:[heures annuelles
selon contrat(s)]])=0,"",CCTSAS[[#This Row],[Total global]]-ABS(CCTSAS[[#This Row],[Dont non opposable]]))</f>
        <v/>
      </c>
      <c r="AB181" s="8"/>
      <c r="AC181" s="63"/>
      <c r="AD181" s="428"/>
      <c r="AE181" s="428"/>
      <c r="AF181" s="428"/>
      <c r="AG181" s="43"/>
      <c r="AH181" s="183" t="str">
        <f>IF(COUNTA(CCTSAS[[#This Row],[Nom]:[heures annuelles
selon contrat(s)]])=0,"",REVEX!$E$9)</f>
        <v/>
      </c>
      <c r="AI181" s="72" t="str">
        <f>IF(CCTSAS[[#This Row],[Allocation fonctions]]="","",IF(ISNA(VLOOKUP(CCTSAS[[#This Row],[Allocation fonctions]],DROPDOWN[Dropdown82],1,FALSE))=TRUE,"Veuillez utiliser les allocations parmis la liste déroulante.",""))</f>
        <v/>
      </c>
    </row>
    <row r="182" spans="1:35" x14ac:dyDescent="0.25">
      <c r="A182" s="72" t="str">
        <f>IF(CCTSAS[[#This Row],[Carrière]]="","",IF(ISNA(VLOOKUP(CCTSAS[[#This Row],[Carrière]],DROPDOWN[Dropdown9],1,FALSE))=TRUE,"Carrière: Utiliser la liste déroulante",""))</f>
        <v/>
      </c>
      <c r="B182" s="554" t="str">
        <f>IF(CCTSAS[[#This Row],[Matricule]]="","",MAX($B$7:B181)+1)</f>
        <v/>
      </c>
      <c r="C182" s="8"/>
      <c r="D182" s="8"/>
      <c r="E182" s="20"/>
      <c r="F182" s="63"/>
      <c r="G182" s="8"/>
      <c r="H182" s="8"/>
      <c r="I182" s="10"/>
      <c r="J182" s="10"/>
      <c r="K182" s="9"/>
      <c r="L182" s="9"/>
      <c r="M182" s="9"/>
      <c r="N18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2" s="660"/>
      <c r="P182" s="660"/>
      <c r="Q182" s="461"/>
      <c r="R182" s="381"/>
      <c r="S182" s="37"/>
      <c r="T182" s="37"/>
      <c r="U182" s="37"/>
      <c r="V182" s="37"/>
      <c r="W182" s="37"/>
      <c r="X182" s="37"/>
      <c r="Y18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2" s="37"/>
      <c r="AA182" s="662" t="str">
        <f>IF(COUNTA(CCTSAS[[#This Row],[Nom]:[heures annuelles
selon contrat(s)]])=0,"",CCTSAS[[#This Row],[Total global]]-ABS(CCTSAS[[#This Row],[Dont non opposable]]))</f>
        <v/>
      </c>
      <c r="AB182" s="8"/>
      <c r="AC182" s="63"/>
      <c r="AD182" s="428"/>
      <c r="AE182" s="428"/>
      <c r="AF182" s="428"/>
      <c r="AG182" s="43"/>
      <c r="AH182" s="183" t="str">
        <f>IF(COUNTA(CCTSAS[[#This Row],[Nom]:[heures annuelles
selon contrat(s)]])=0,"",REVEX!$E$9)</f>
        <v/>
      </c>
      <c r="AI182" s="72" t="str">
        <f>IF(CCTSAS[[#This Row],[Allocation fonctions]]="","",IF(ISNA(VLOOKUP(CCTSAS[[#This Row],[Allocation fonctions]],DROPDOWN[Dropdown82],1,FALSE))=TRUE,"Veuillez utiliser les allocations parmis la liste déroulante.",""))</f>
        <v/>
      </c>
    </row>
    <row r="183" spans="1:35" x14ac:dyDescent="0.25">
      <c r="A183" s="72" t="str">
        <f>IF(CCTSAS[[#This Row],[Carrière]]="","",IF(ISNA(VLOOKUP(CCTSAS[[#This Row],[Carrière]],DROPDOWN[Dropdown9],1,FALSE))=TRUE,"Carrière: Utiliser la liste déroulante",""))</f>
        <v/>
      </c>
      <c r="B183" s="554" t="str">
        <f>IF(CCTSAS[[#This Row],[Matricule]]="","",MAX($B$7:B182)+1)</f>
        <v/>
      </c>
      <c r="C183" s="8"/>
      <c r="D183" s="8"/>
      <c r="E183" s="20"/>
      <c r="F183" s="63"/>
      <c r="G183" s="8"/>
      <c r="H183" s="8"/>
      <c r="I183" s="10"/>
      <c r="J183" s="10"/>
      <c r="K183" s="9"/>
      <c r="L183" s="9"/>
      <c r="M183" s="9"/>
      <c r="N18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3" s="660"/>
      <c r="P183" s="660"/>
      <c r="Q183" s="461"/>
      <c r="R183" s="381"/>
      <c r="S183" s="37"/>
      <c r="T183" s="37"/>
      <c r="U183" s="37"/>
      <c r="V183" s="37"/>
      <c r="W183" s="37"/>
      <c r="X183" s="37"/>
      <c r="Y18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3" s="37"/>
      <c r="AA183" s="662" t="str">
        <f>IF(COUNTA(CCTSAS[[#This Row],[Nom]:[heures annuelles
selon contrat(s)]])=0,"",CCTSAS[[#This Row],[Total global]]-ABS(CCTSAS[[#This Row],[Dont non opposable]]))</f>
        <v/>
      </c>
      <c r="AB183" s="8"/>
      <c r="AC183" s="63"/>
      <c r="AD183" s="428"/>
      <c r="AE183" s="428"/>
      <c r="AF183" s="428"/>
      <c r="AG183" s="43"/>
      <c r="AH183" s="183" t="str">
        <f>IF(COUNTA(CCTSAS[[#This Row],[Nom]:[heures annuelles
selon contrat(s)]])=0,"",REVEX!$E$9)</f>
        <v/>
      </c>
      <c r="AI183" s="72" t="str">
        <f>IF(CCTSAS[[#This Row],[Allocation fonctions]]="","",IF(ISNA(VLOOKUP(CCTSAS[[#This Row],[Allocation fonctions]],DROPDOWN[Dropdown82],1,FALSE))=TRUE,"Veuillez utiliser les allocations parmis la liste déroulante.",""))</f>
        <v/>
      </c>
    </row>
    <row r="184" spans="1:35" x14ac:dyDescent="0.25">
      <c r="A184" s="72" t="str">
        <f>IF(CCTSAS[[#This Row],[Carrière]]="","",IF(ISNA(VLOOKUP(CCTSAS[[#This Row],[Carrière]],DROPDOWN[Dropdown9],1,FALSE))=TRUE,"Carrière: Utiliser la liste déroulante",""))</f>
        <v/>
      </c>
      <c r="B184" s="554" t="str">
        <f>IF(CCTSAS[[#This Row],[Matricule]]="","",MAX($B$7:B183)+1)</f>
        <v/>
      </c>
      <c r="C184" s="8"/>
      <c r="D184" s="8"/>
      <c r="E184" s="20"/>
      <c r="F184" s="63"/>
      <c r="G184" s="8"/>
      <c r="H184" s="8"/>
      <c r="I184" s="10"/>
      <c r="J184" s="10"/>
      <c r="K184" s="9"/>
      <c r="L184" s="9"/>
      <c r="M184" s="9"/>
      <c r="N18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4" s="660"/>
      <c r="P184" s="660"/>
      <c r="Q184" s="461"/>
      <c r="R184" s="381"/>
      <c r="S184" s="37"/>
      <c r="T184" s="37"/>
      <c r="U184" s="37"/>
      <c r="V184" s="37"/>
      <c r="W184" s="37"/>
      <c r="X184" s="37"/>
      <c r="Y18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4" s="37"/>
      <c r="AA184" s="662" t="str">
        <f>IF(COUNTA(CCTSAS[[#This Row],[Nom]:[heures annuelles
selon contrat(s)]])=0,"",CCTSAS[[#This Row],[Total global]]-ABS(CCTSAS[[#This Row],[Dont non opposable]]))</f>
        <v/>
      </c>
      <c r="AB184" s="8"/>
      <c r="AC184" s="63"/>
      <c r="AD184" s="428"/>
      <c r="AE184" s="428"/>
      <c r="AF184" s="428"/>
      <c r="AG184" s="43"/>
      <c r="AH184" s="183" t="str">
        <f>IF(COUNTA(CCTSAS[[#This Row],[Nom]:[heures annuelles
selon contrat(s)]])=0,"",REVEX!$E$9)</f>
        <v/>
      </c>
      <c r="AI184" s="72" t="str">
        <f>IF(CCTSAS[[#This Row],[Allocation fonctions]]="","",IF(ISNA(VLOOKUP(CCTSAS[[#This Row],[Allocation fonctions]],DROPDOWN[Dropdown82],1,FALSE))=TRUE,"Veuillez utiliser les allocations parmis la liste déroulante.",""))</f>
        <v/>
      </c>
    </row>
    <row r="185" spans="1:35" x14ac:dyDescent="0.25">
      <c r="A185" s="72" t="str">
        <f>IF(CCTSAS[[#This Row],[Carrière]]="","",IF(ISNA(VLOOKUP(CCTSAS[[#This Row],[Carrière]],DROPDOWN[Dropdown9],1,FALSE))=TRUE,"Carrière: Utiliser la liste déroulante",""))</f>
        <v/>
      </c>
      <c r="B185" s="554" t="str">
        <f>IF(CCTSAS[[#This Row],[Matricule]]="","",MAX($B$7:B184)+1)</f>
        <v/>
      </c>
      <c r="C185" s="8"/>
      <c r="D185" s="8"/>
      <c r="E185" s="20"/>
      <c r="F185" s="63"/>
      <c r="G185" s="8"/>
      <c r="H185" s="8"/>
      <c r="I185" s="10"/>
      <c r="J185" s="10"/>
      <c r="K185" s="9"/>
      <c r="L185" s="9"/>
      <c r="M185" s="9"/>
      <c r="N18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5" s="660"/>
      <c r="P185" s="660"/>
      <c r="Q185" s="461"/>
      <c r="R185" s="381"/>
      <c r="S185" s="37"/>
      <c r="T185" s="37"/>
      <c r="U185" s="37"/>
      <c r="V185" s="37"/>
      <c r="W185" s="37"/>
      <c r="X185" s="37"/>
      <c r="Y18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5" s="37"/>
      <c r="AA185" s="662" t="str">
        <f>IF(COUNTA(CCTSAS[[#This Row],[Nom]:[heures annuelles
selon contrat(s)]])=0,"",CCTSAS[[#This Row],[Total global]]-ABS(CCTSAS[[#This Row],[Dont non opposable]]))</f>
        <v/>
      </c>
      <c r="AB185" s="8"/>
      <c r="AC185" s="63"/>
      <c r="AD185" s="428"/>
      <c r="AE185" s="428"/>
      <c r="AF185" s="428"/>
      <c r="AG185" s="43"/>
      <c r="AH185" s="183" t="str">
        <f>IF(COUNTA(CCTSAS[[#This Row],[Nom]:[heures annuelles
selon contrat(s)]])=0,"",REVEX!$E$9)</f>
        <v/>
      </c>
      <c r="AI185" s="72" t="str">
        <f>IF(CCTSAS[[#This Row],[Allocation fonctions]]="","",IF(ISNA(VLOOKUP(CCTSAS[[#This Row],[Allocation fonctions]],DROPDOWN[Dropdown82],1,FALSE))=TRUE,"Veuillez utiliser les allocations parmis la liste déroulante.",""))</f>
        <v/>
      </c>
    </row>
    <row r="186" spans="1:35" x14ac:dyDescent="0.25">
      <c r="A186" s="72" t="str">
        <f>IF(CCTSAS[[#This Row],[Carrière]]="","",IF(ISNA(VLOOKUP(CCTSAS[[#This Row],[Carrière]],DROPDOWN[Dropdown9],1,FALSE))=TRUE,"Carrière: Utiliser la liste déroulante",""))</f>
        <v/>
      </c>
      <c r="B186" s="554" t="str">
        <f>IF(CCTSAS[[#This Row],[Matricule]]="","",MAX($B$7:B185)+1)</f>
        <v/>
      </c>
      <c r="C186" s="8"/>
      <c r="D186" s="8"/>
      <c r="E186" s="20"/>
      <c r="F186" s="63"/>
      <c r="G186" s="8"/>
      <c r="H186" s="8"/>
      <c r="I186" s="10"/>
      <c r="J186" s="10"/>
      <c r="K186" s="9"/>
      <c r="L186" s="9"/>
      <c r="M186" s="9"/>
      <c r="N18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6" s="660"/>
      <c r="P186" s="660"/>
      <c r="Q186" s="461"/>
      <c r="R186" s="381"/>
      <c r="S186" s="37"/>
      <c r="T186" s="37"/>
      <c r="U186" s="37"/>
      <c r="V186" s="37"/>
      <c r="W186" s="37"/>
      <c r="X186" s="37"/>
      <c r="Y18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6" s="37"/>
      <c r="AA186" s="662" t="str">
        <f>IF(COUNTA(CCTSAS[[#This Row],[Nom]:[heures annuelles
selon contrat(s)]])=0,"",CCTSAS[[#This Row],[Total global]]-ABS(CCTSAS[[#This Row],[Dont non opposable]]))</f>
        <v/>
      </c>
      <c r="AB186" s="8"/>
      <c r="AC186" s="63"/>
      <c r="AD186" s="428"/>
      <c r="AE186" s="428"/>
      <c r="AF186" s="428"/>
      <c r="AG186" s="43"/>
      <c r="AH186" s="183" t="str">
        <f>IF(COUNTA(CCTSAS[[#This Row],[Nom]:[heures annuelles
selon contrat(s)]])=0,"",REVEX!$E$9)</f>
        <v/>
      </c>
      <c r="AI186" s="72" t="str">
        <f>IF(CCTSAS[[#This Row],[Allocation fonctions]]="","",IF(ISNA(VLOOKUP(CCTSAS[[#This Row],[Allocation fonctions]],DROPDOWN[Dropdown82],1,FALSE))=TRUE,"Veuillez utiliser les allocations parmis la liste déroulante.",""))</f>
        <v/>
      </c>
    </row>
    <row r="187" spans="1:35" x14ac:dyDescent="0.25">
      <c r="A187" s="72" t="str">
        <f>IF(CCTSAS[[#This Row],[Carrière]]="","",IF(ISNA(VLOOKUP(CCTSAS[[#This Row],[Carrière]],DROPDOWN[Dropdown9],1,FALSE))=TRUE,"Carrière: Utiliser la liste déroulante",""))</f>
        <v/>
      </c>
      <c r="B187" s="554" t="str">
        <f>IF(CCTSAS[[#This Row],[Matricule]]="","",MAX($B$7:B186)+1)</f>
        <v/>
      </c>
      <c r="C187" s="8"/>
      <c r="D187" s="8"/>
      <c r="E187" s="20"/>
      <c r="F187" s="63"/>
      <c r="G187" s="8"/>
      <c r="H187" s="8"/>
      <c r="I187" s="10"/>
      <c r="J187" s="10"/>
      <c r="K187" s="9"/>
      <c r="L187" s="9"/>
      <c r="M187" s="9"/>
      <c r="N18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7" s="660"/>
      <c r="P187" s="660"/>
      <c r="Q187" s="461"/>
      <c r="R187" s="381"/>
      <c r="S187" s="37"/>
      <c r="T187" s="37"/>
      <c r="U187" s="37"/>
      <c r="V187" s="37"/>
      <c r="W187" s="37"/>
      <c r="X187" s="37"/>
      <c r="Y18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7" s="37"/>
      <c r="AA187" s="662" t="str">
        <f>IF(COUNTA(CCTSAS[[#This Row],[Nom]:[heures annuelles
selon contrat(s)]])=0,"",CCTSAS[[#This Row],[Total global]]-ABS(CCTSAS[[#This Row],[Dont non opposable]]))</f>
        <v/>
      </c>
      <c r="AB187" s="8"/>
      <c r="AC187" s="63"/>
      <c r="AD187" s="428"/>
      <c r="AE187" s="428"/>
      <c r="AF187" s="428"/>
      <c r="AG187" s="43"/>
      <c r="AH187" s="183" t="str">
        <f>IF(COUNTA(CCTSAS[[#This Row],[Nom]:[heures annuelles
selon contrat(s)]])=0,"",REVEX!$E$9)</f>
        <v/>
      </c>
      <c r="AI187" s="72" t="str">
        <f>IF(CCTSAS[[#This Row],[Allocation fonctions]]="","",IF(ISNA(VLOOKUP(CCTSAS[[#This Row],[Allocation fonctions]],DROPDOWN[Dropdown82],1,FALSE))=TRUE,"Veuillez utiliser les allocations parmis la liste déroulante.",""))</f>
        <v/>
      </c>
    </row>
    <row r="188" spans="1:35" x14ac:dyDescent="0.25">
      <c r="A188" s="72" t="str">
        <f>IF(CCTSAS[[#This Row],[Carrière]]="","",IF(ISNA(VLOOKUP(CCTSAS[[#This Row],[Carrière]],DROPDOWN[Dropdown9],1,FALSE))=TRUE,"Carrière: Utiliser la liste déroulante",""))</f>
        <v/>
      </c>
      <c r="B188" s="554" t="str">
        <f>IF(CCTSAS[[#This Row],[Matricule]]="","",MAX($B$7:B187)+1)</f>
        <v/>
      </c>
      <c r="C188" s="8"/>
      <c r="D188" s="8"/>
      <c r="E188" s="20"/>
      <c r="F188" s="63"/>
      <c r="G188" s="8"/>
      <c r="H188" s="8"/>
      <c r="I188" s="10"/>
      <c r="J188" s="10"/>
      <c r="K188" s="9"/>
      <c r="L188" s="9"/>
      <c r="M188" s="9"/>
      <c r="N18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8" s="660"/>
      <c r="P188" s="660"/>
      <c r="Q188" s="461"/>
      <c r="R188" s="381"/>
      <c r="S188" s="37"/>
      <c r="T188" s="37"/>
      <c r="U188" s="37"/>
      <c r="V188" s="37"/>
      <c r="W188" s="37"/>
      <c r="X188" s="37"/>
      <c r="Y18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8" s="37"/>
      <c r="AA188" s="662" t="str">
        <f>IF(COUNTA(CCTSAS[[#This Row],[Nom]:[heures annuelles
selon contrat(s)]])=0,"",CCTSAS[[#This Row],[Total global]]-ABS(CCTSAS[[#This Row],[Dont non opposable]]))</f>
        <v/>
      </c>
      <c r="AB188" s="8"/>
      <c r="AC188" s="63"/>
      <c r="AD188" s="428"/>
      <c r="AE188" s="428"/>
      <c r="AF188" s="428"/>
      <c r="AG188" s="43"/>
      <c r="AH188" s="183" t="str">
        <f>IF(COUNTA(CCTSAS[[#This Row],[Nom]:[heures annuelles
selon contrat(s)]])=0,"",REVEX!$E$9)</f>
        <v/>
      </c>
      <c r="AI188" s="72" t="str">
        <f>IF(CCTSAS[[#This Row],[Allocation fonctions]]="","",IF(ISNA(VLOOKUP(CCTSAS[[#This Row],[Allocation fonctions]],DROPDOWN[Dropdown82],1,FALSE))=TRUE,"Veuillez utiliser les allocations parmis la liste déroulante.",""))</f>
        <v/>
      </c>
    </row>
    <row r="189" spans="1:35" x14ac:dyDescent="0.25">
      <c r="A189" s="72" t="str">
        <f>IF(CCTSAS[[#This Row],[Carrière]]="","",IF(ISNA(VLOOKUP(CCTSAS[[#This Row],[Carrière]],DROPDOWN[Dropdown9],1,FALSE))=TRUE,"Carrière: Utiliser la liste déroulante",""))</f>
        <v/>
      </c>
      <c r="B189" s="554" t="str">
        <f>IF(CCTSAS[[#This Row],[Matricule]]="","",MAX($B$7:B188)+1)</f>
        <v/>
      </c>
      <c r="C189" s="8"/>
      <c r="D189" s="8"/>
      <c r="E189" s="20"/>
      <c r="F189" s="63"/>
      <c r="G189" s="8"/>
      <c r="H189" s="8"/>
      <c r="I189" s="10"/>
      <c r="J189" s="10"/>
      <c r="K189" s="9"/>
      <c r="L189" s="9"/>
      <c r="M189" s="9"/>
      <c r="N18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89" s="660"/>
      <c r="P189" s="660"/>
      <c r="Q189" s="461"/>
      <c r="R189" s="381"/>
      <c r="S189" s="37"/>
      <c r="T189" s="37"/>
      <c r="U189" s="37"/>
      <c r="V189" s="37"/>
      <c r="W189" s="37"/>
      <c r="X189" s="37"/>
      <c r="Y18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89" s="37"/>
      <c r="AA189" s="662" t="str">
        <f>IF(COUNTA(CCTSAS[[#This Row],[Nom]:[heures annuelles
selon contrat(s)]])=0,"",CCTSAS[[#This Row],[Total global]]-ABS(CCTSAS[[#This Row],[Dont non opposable]]))</f>
        <v/>
      </c>
      <c r="AB189" s="8"/>
      <c r="AC189" s="63"/>
      <c r="AD189" s="428"/>
      <c r="AE189" s="428"/>
      <c r="AF189" s="428"/>
      <c r="AG189" s="43"/>
      <c r="AH189" s="183" t="str">
        <f>IF(COUNTA(CCTSAS[[#This Row],[Nom]:[heures annuelles
selon contrat(s)]])=0,"",REVEX!$E$9)</f>
        <v/>
      </c>
      <c r="AI189" s="72" t="str">
        <f>IF(CCTSAS[[#This Row],[Allocation fonctions]]="","",IF(ISNA(VLOOKUP(CCTSAS[[#This Row],[Allocation fonctions]],DROPDOWN[Dropdown82],1,FALSE))=TRUE,"Veuillez utiliser les allocations parmis la liste déroulante.",""))</f>
        <v/>
      </c>
    </row>
    <row r="190" spans="1:35" x14ac:dyDescent="0.25">
      <c r="A190" s="72" t="str">
        <f>IF(CCTSAS[[#This Row],[Carrière]]="","",IF(ISNA(VLOOKUP(CCTSAS[[#This Row],[Carrière]],DROPDOWN[Dropdown9],1,FALSE))=TRUE,"Carrière: Utiliser la liste déroulante",""))</f>
        <v/>
      </c>
      <c r="B190" s="554" t="str">
        <f>IF(CCTSAS[[#This Row],[Matricule]]="","",MAX($B$7:B189)+1)</f>
        <v/>
      </c>
      <c r="C190" s="8"/>
      <c r="D190" s="8"/>
      <c r="E190" s="20"/>
      <c r="F190" s="63"/>
      <c r="G190" s="8"/>
      <c r="H190" s="8"/>
      <c r="I190" s="10"/>
      <c r="J190" s="10"/>
      <c r="K190" s="9"/>
      <c r="L190" s="9"/>
      <c r="M190" s="9"/>
      <c r="N19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0" s="660"/>
      <c r="P190" s="660"/>
      <c r="Q190" s="461"/>
      <c r="R190" s="381"/>
      <c r="S190" s="37"/>
      <c r="T190" s="37"/>
      <c r="U190" s="37"/>
      <c r="V190" s="37"/>
      <c r="W190" s="37"/>
      <c r="X190" s="37"/>
      <c r="Y19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0" s="37"/>
      <c r="AA190" s="662" t="str">
        <f>IF(COUNTA(CCTSAS[[#This Row],[Nom]:[heures annuelles
selon contrat(s)]])=0,"",CCTSAS[[#This Row],[Total global]]-ABS(CCTSAS[[#This Row],[Dont non opposable]]))</f>
        <v/>
      </c>
      <c r="AB190" s="8"/>
      <c r="AC190" s="63"/>
      <c r="AD190" s="428"/>
      <c r="AE190" s="428"/>
      <c r="AF190" s="428"/>
      <c r="AG190" s="43"/>
      <c r="AH190" s="183" t="str">
        <f>IF(COUNTA(CCTSAS[[#This Row],[Nom]:[heures annuelles
selon contrat(s)]])=0,"",REVEX!$E$9)</f>
        <v/>
      </c>
      <c r="AI190" s="72" t="str">
        <f>IF(CCTSAS[[#This Row],[Allocation fonctions]]="","",IF(ISNA(VLOOKUP(CCTSAS[[#This Row],[Allocation fonctions]],DROPDOWN[Dropdown82],1,FALSE))=TRUE,"Veuillez utiliser les allocations parmis la liste déroulante.",""))</f>
        <v/>
      </c>
    </row>
    <row r="191" spans="1:35" x14ac:dyDescent="0.25">
      <c r="A191" s="72" t="str">
        <f>IF(CCTSAS[[#This Row],[Carrière]]="","",IF(ISNA(VLOOKUP(CCTSAS[[#This Row],[Carrière]],DROPDOWN[Dropdown9],1,FALSE))=TRUE,"Carrière: Utiliser la liste déroulante",""))</f>
        <v/>
      </c>
      <c r="B191" s="554" t="str">
        <f>IF(CCTSAS[[#This Row],[Matricule]]="","",MAX($B$7:B190)+1)</f>
        <v/>
      </c>
      <c r="C191" s="8"/>
      <c r="D191" s="8"/>
      <c r="E191" s="20"/>
      <c r="F191" s="63"/>
      <c r="G191" s="8"/>
      <c r="H191" s="8"/>
      <c r="I191" s="10"/>
      <c r="J191" s="10"/>
      <c r="K191" s="9"/>
      <c r="L191" s="9"/>
      <c r="M191" s="9"/>
      <c r="N19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1" s="660"/>
      <c r="P191" s="660"/>
      <c r="Q191" s="461"/>
      <c r="R191" s="381"/>
      <c r="S191" s="37"/>
      <c r="T191" s="37"/>
      <c r="U191" s="37"/>
      <c r="V191" s="37"/>
      <c r="W191" s="37"/>
      <c r="X191" s="37"/>
      <c r="Y19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1" s="37"/>
      <c r="AA191" s="662" t="str">
        <f>IF(COUNTA(CCTSAS[[#This Row],[Nom]:[heures annuelles
selon contrat(s)]])=0,"",CCTSAS[[#This Row],[Total global]]-ABS(CCTSAS[[#This Row],[Dont non opposable]]))</f>
        <v/>
      </c>
      <c r="AB191" s="8"/>
      <c r="AC191" s="63"/>
      <c r="AD191" s="428"/>
      <c r="AE191" s="428"/>
      <c r="AF191" s="428"/>
      <c r="AG191" s="43"/>
      <c r="AH191" s="183" t="str">
        <f>IF(COUNTA(CCTSAS[[#This Row],[Nom]:[heures annuelles
selon contrat(s)]])=0,"",REVEX!$E$9)</f>
        <v/>
      </c>
      <c r="AI191" s="72" t="str">
        <f>IF(CCTSAS[[#This Row],[Allocation fonctions]]="","",IF(ISNA(VLOOKUP(CCTSAS[[#This Row],[Allocation fonctions]],DROPDOWN[Dropdown82],1,FALSE))=TRUE,"Veuillez utiliser les allocations parmis la liste déroulante.",""))</f>
        <v/>
      </c>
    </row>
    <row r="192" spans="1:35" x14ac:dyDescent="0.25">
      <c r="A192" s="72" t="str">
        <f>IF(CCTSAS[[#This Row],[Carrière]]="","",IF(ISNA(VLOOKUP(CCTSAS[[#This Row],[Carrière]],DROPDOWN[Dropdown9],1,FALSE))=TRUE,"Carrière: Utiliser la liste déroulante",""))</f>
        <v/>
      </c>
      <c r="B192" s="554" t="str">
        <f>IF(CCTSAS[[#This Row],[Matricule]]="","",MAX($B$7:B191)+1)</f>
        <v/>
      </c>
      <c r="C192" s="8"/>
      <c r="D192" s="8"/>
      <c r="E192" s="20"/>
      <c r="F192" s="63"/>
      <c r="G192" s="8"/>
      <c r="H192" s="8"/>
      <c r="I192" s="10"/>
      <c r="J192" s="10"/>
      <c r="K192" s="9"/>
      <c r="L192" s="9"/>
      <c r="M192" s="9"/>
      <c r="N19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2" s="660"/>
      <c r="P192" s="660"/>
      <c r="Q192" s="461"/>
      <c r="R192" s="381"/>
      <c r="S192" s="37"/>
      <c r="T192" s="37"/>
      <c r="U192" s="37"/>
      <c r="V192" s="37"/>
      <c r="W192" s="37"/>
      <c r="X192" s="37"/>
      <c r="Y19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2" s="37"/>
      <c r="AA192" s="662" t="str">
        <f>IF(COUNTA(CCTSAS[[#This Row],[Nom]:[heures annuelles
selon contrat(s)]])=0,"",CCTSAS[[#This Row],[Total global]]-ABS(CCTSAS[[#This Row],[Dont non opposable]]))</f>
        <v/>
      </c>
      <c r="AB192" s="8"/>
      <c r="AC192" s="63"/>
      <c r="AD192" s="428"/>
      <c r="AE192" s="428"/>
      <c r="AF192" s="428"/>
      <c r="AG192" s="43"/>
      <c r="AH192" s="183" t="str">
        <f>IF(COUNTA(CCTSAS[[#This Row],[Nom]:[heures annuelles
selon contrat(s)]])=0,"",REVEX!$E$9)</f>
        <v/>
      </c>
      <c r="AI192" s="72" t="str">
        <f>IF(CCTSAS[[#This Row],[Allocation fonctions]]="","",IF(ISNA(VLOOKUP(CCTSAS[[#This Row],[Allocation fonctions]],DROPDOWN[Dropdown82],1,FALSE))=TRUE,"Veuillez utiliser les allocations parmis la liste déroulante.",""))</f>
        <v/>
      </c>
    </row>
    <row r="193" spans="1:35" x14ac:dyDescent="0.25">
      <c r="A193" s="72" t="str">
        <f>IF(CCTSAS[[#This Row],[Carrière]]="","",IF(ISNA(VLOOKUP(CCTSAS[[#This Row],[Carrière]],DROPDOWN[Dropdown9],1,FALSE))=TRUE,"Carrière: Utiliser la liste déroulante",""))</f>
        <v/>
      </c>
      <c r="B193" s="554" t="str">
        <f>IF(CCTSAS[[#This Row],[Matricule]]="","",MAX($B$7:B192)+1)</f>
        <v/>
      </c>
      <c r="C193" s="8"/>
      <c r="D193" s="8"/>
      <c r="E193" s="20"/>
      <c r="F193" s="63"/>
      <c r="G193" s="8"/>
      <c r="H193" s="8"/>
      <c r="I193" s="10"/>
      <c r="J193" s="10"/>
      <c r="K193" s="9"/>
      <c r="L193" s="9"/>
      <c r="M193" s="9"/>
      <c r="N19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3" s="660"/>
      <c r="P193" s="660"/>
      <c r="Q193" s="461"/>
      <c r="R193" s="381"/>
      <c r="S193" s="37"/>
      <c r="T193" s="37"/>
      <c r="U193" s="37"/>
      <c r="V193" s="37"/>
      <c r="W193" s="37"/>
      <c r="X193" s="37"/>
      <c r="Y19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3" s="37"/>
      <c r="AA193" s="662" t="str">
        <f>IF(COUNTA(CCTSAS[[#This Row],[Nom]:[heures annuelles
selon contrat(s)]])=0,"",CCTSAS[[#This Row],[Total global]]-ABS(CCTSAS[[#This Row],[Dont non opposable]]))</f>
        <v/>
      </c>
      <c r="AB193" s="8"/>
      <c r="AC193" s="63"/>
      <c r="AD193" s="428"/>
      <c r="AE193" s="428"/>
      <c r="AF193" s="428"/>
      <c r="AG193" s="43"/>
      <c r="AH193" s="183" t="str">
        <f>IF(COUNTA(CCTSAS[[#This Row],[Nom]:[heures annuelles
selon contrat(s)]])=0,"",REVEX!$E$9)</f>
        <v/>
      </c>
      <c r="AI193" s="72" t="str">
        <f>IF(CCTSAS[[#This Row],[Allocation fonctions]]="","",IF(ISNA(VLOOKUP(CCTSAS[[#This Row],[Allocation fonctions]],DROPDOWN[Dropdown82],1,FALSE))=TRUE,"Veuillez utiliser les allocations parmis la liste déroulante.",""))</f>
        <v/>
      </c>
    </row>
    <row r="194" spans="1:35" x14ac:dyDescent="0.25">
      <c r="A194" s="72" t="str">
        <f>IF(CCTSAS[[#This Row],[Carrière]]="","",IF(ISNA(VLOOKUP(CCTSAS[[#This Row],[Carrière]],DROPDOWN[Dropdown9],1,FALSE))=TRUE,"Carrière: Utiliser la liste déroulante",""))</f>
        <v/>
      </c>
      <c r="B194" s="554" t="str">
        <f>IF(CCTSAS[[#This Row],[Matricule]]="","",MAX($B$7:B193)+1)</f>
        <v/>
      </c>
      <c r="C194" s="8"/>
      <c r="D194" s="8"/>
      <c r="E194" s="20"/>
      <c r="F194" s="63"/>
      <c r="G194" s="8"/>
      <c r="H194" s="8"/>
      <c r="I194" s="10"/>
      <c r="J194" s="10"/>
      <c r="K194" s="9"/>
      <c r="L194" s="9"/>
      <c r="M194" s="9"/>
      <c r="N19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4" s="660"/>
      <c r="P194" s="660"/>
      <c r="Q194" s="461"/>
      <c r="R194" s="381"/>
      <c r="S194" s="37"/>
      <c r="T194" s="37"/>
      <c r="U194" s="37"/>
      <c r="V194" s="37"/>
      <c r="W194" s="37"/>
      <c r="X194" s="37"/>
      <c r="Y19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4" s="37"/>
      <c r="AA194" s="662" t="str">
        <f>IF(COUNTA(CCTSAS[[#This Row],[Nom]:[heures annuelles
selon contrat(s)]])=0,"",CCTSAS[[#This Row],[Total global]]-ABS(CCTSAS[[#This Row],[Dont non opposable]]))</f>
        <v/>
      </c>
      <c r="AB194" s="8"/>
      <c r="AC194" s="63"/>
      <c r="AD194" s="428"/>
      <c r="AE194" s="428"/>
      <c r="AF194" s="428"/>
      <c r="AG194" s="43"/>
      <c r="AH194" s="183" t="str">
        <f>IF(COUNTA(CCTSAS[[#This Row],[Nom]:[heures annuelles
selon contrat(s)]])=0,"",REVEX!$E$9)</f>
        <v/>
      </c>
      <c r="AI194" s="72" t="str">
        <f>IF(CCTSAS[[#This Row],[Allocation fonctions]]="","",IF(ISNA(VLOOKUP(CCTSAS[[#This Row],[Allocation fonctions]],DROPDOWN[Dropdown82],1,FALSE))=TRUE,"Veuillez utiliser les allocations parmis la liste déroulante.",""))</f>
        <v/>
      </c>
    </row>
    <row r="195" spans="1:35" x14ac:dyDescent="0.25">
      <c r="A195" s="72" t="str">
        <f>IF(CCTSAS[[#This Row],[Carrière]]="","",IF(ISNA(VLOOKUP(CCTSAS[[#This Row],[Carrière]],DROPDOWN[Dropdown9],1,FALSE))=TRUE,"Carrière: Utiliser la liste déroulante",""))</f>
        <v/>
      </c>
      <c r="B195" s="554" t="str">
        <f>IF(CCTSAS[[#This Row],[Matricule]]="","",MAX($B$7:B194)+1)</f>
        <v/>
      </c>
      <c r="C195" s="8"/>
      <c r="D195" s="8"/>
      <c r="E195" s="20"/>
      <c r="F195" s="63"/>
      <c r="G195" s="8"/>
      <c r="H195" s="8"/>
      <c r="I195" s="10"/>
      <c r="J195" s="10"/>
      <c r="K195" s="9"/>
      <c r="L195" s="9"/>
      <c r="M195" s="9"/>
      <c r="N19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5" s="660"/>
      <c r="P195" s="660"/>
      <c r="Q195" s="461"/>
      <c r="R195" s="381"/>
      <c r="S195" s="37"/>
      <c r="T195" s="37"/>
      <c r="U195" s="37"/>
      <c r="V195" s="37"/>
      <c r="W195" s="37"/>
      <c r="X195" s="37"/>
      <c r="Y19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5" s="37"/>
      <c r="AA195" s="662" t="str">
        <f>IF(COUNTA(CCTSAS[[#This Row],[Nom]:[heures annuelles
selon contrat(s)]])=0,"",CCTSAS[[#This Row],[Total global]]-ABS(CCTSAS[[#This Row],[Dont non opposable]]))</f>
        <v/>
      </c>
      <c r="AB195" s="8"/>
      <c r="AC195" s="63"/>
      <c r="AD195" s="428"/>
      <c r="AE195" s="428"/>
      <c r="AF195" s="428"/>
      <c r="AG195" s="43"/>
      <c r="AH195" s="183" t="str">
        <f>IF(COUNTA(CCTSAS[[#This Row],[Nom]:[heures annuelles
selon contrat(s)]])=0,"",REVEX!$E$9)</f>
        <v/>
      </c>
      <c r="AI195" s="72" t="str">
        <f>IF(CCTSAS[[#This Row],[Allocation fonctions]]="","",IF(ISNA(VLOOKUP(CCTSAS[[#This Row],[Allocation fonctions]],DROPDOWN[Dropdown82],1,FALSE))=TRUE,"Veuillez utiliser les allocations parmis la liste déroulante.",""))</f>
        <v/>
      </c>
    </row>
    <row r="196" spans="1:35" x14ac:dyDescent="0.25">
      <c r="A196" s="72" t="str">
        <f>IF(CCTSAS[[#This Row],[Carrière]]="","",IF(ISNA(VLOOKUP(CCTSAS[[#This Row],[Carrière]],DROPDOWN[Dropdown9],1,FALSE))=TRUE,"Carrière: Utiliser la liste déroulante",""))</f>
        <v/>
      </c>
      <c r="B196" s="554" t="str">
        <f>IF(CCTSAS[[#This Row],[Matricule]]="","",MAX($B$7:B195)+1)</f>
        <v/>
      </c>
      <c r="C196" s="8"/>
      <c r="D196" s="8"/>
      <c r="E196" s="20"/>
      <c r="F196" s="63"/>
      <c r="G196" s="8"/>
      <c r="H196" s="8"/>
      <c r="I196" s="10"/>
      <c r="J196" s="10"/>
      <c r="K196" s="9"/>
      <c r="L196" s="9"/>
      <c r="M196" s="9"/>
      <c r="N19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6" s="660"/>
      <c r="P196" s="660"/>
      <c r="Q196" s="461"/>
      <c r="R196" s="381"/>
      <c r="S196" s="37"/>
      <c r="T196" s="37"/>
      <c r="U196" s="37"/>
      <c r="V196" s="37"/>
      <c r="W196" s="37"/>
      <c r="X196" s="37"/>
      <c r="Y19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6" s="37"/>
      <c r="AA196" s="662" t="str">
        <f>IF(COUNTA(CCTSAS[[#This Row],[Nom]:[heures annuelles
selon contrat(s)]])=0,"",CCTSAS[[#This Row],[Total global]]-ABS(CCTSAS[[#This Row],[Dont non opposable]]))</f>
        <v/>
      </c>
      <c r="AB196" s="8"/>
      <c r="AC196" s="63"/>
      <c r="AD196" s="428"/>
      <c r="AE196" s="428"/>
      <c r="AF196" s="428"/>
      <c r="AG196" s="43"/>
      <c r="AH196" s="183" t="str">
        <f>IF(COUNTA(CCTSAS[[#This Row],[Nom]:[heures annuelles
selon contrat(s)]])=0,"",REVEX!$E$9)</f>
        <v/>
      </c>
      <c r="AI196" s="72" t="str">
        <f>IF(CCTSAS[[#This Row],[Allocation fonctions]]="","",IF(ISNA(VLOOKUP(CCTSAS[[#This Row],[Allocation fonctions]],DROPDOWN[Dropdown82],1,FALSE))=TRUE,"Veuillez utiliser les allocations parmis la liste déroulante.",""))</f>
        <v/>
      </c>
    </row>
    <row r="197" spans="1:35" x14ac:dyDescent="0.25">
      <c r="A197" s="72" t="str">
        <f>IF(CCTSAS[[#This Row],[Carrière]]="","",IF(ISNA(VLOOKUP(CCTSAS[[#This Row],[Carrière]],DROPDOWN[Dropdown9],1,FALSE))=TRUE,"Carrière: Utiliser la liste déroulante",""))</f>
        <v/>
      </c>
      <c r="B197" s="554" t="str">
        <f>IF(CCTSAS[[#This Row],[Matricule]]="","",MAX($B$7:B196)+1)</f>
        <v/>
      </c>
      <c r="C197" s="8"/>
      <c r="D197" s="8"/>
      <c r="E197" s="20"/>
      <c r="F197" s="63"/>
      <c r="G197" s="8"/>
      <c r="H197" s="8"/>
      <c r="I197" s="10"/>
      <c r="J197" s="10"/>
      <c r="K197" s="9"/>
      <c r="L197" s="9"/>
      <c r="M197" s="9"/>
      <c r="N19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7" s="660"/>
      <c r="P197" s="660"/>
      <c r="Q197" s="461"/>
      <c r="R197" s="381"/>
      <c r="S197" s="37"/>
      <c r="T197" s="37"/>
      <c r="U197" s="37"/>
      <c r="V197" s="37"/>
      <c r="W197" s="37"/>
      <c r="X197" s="37"/>
      <c r="Y19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7" s="37"/>
      <c r="AA197" s="662" t="str">
        <f>IF(COUNTA(CCTSAS[[#This Row],[Nom]:[heures annuelles
selon contrat(s)]])=0,"",CCTSAS[[#This Row],[Total global]]-ABS(CCTSAS[[#This Row],[Dont non opposable]]))</f>
        <v/>
      </c>
      <c r="AB197" s="8"/>
      <c r="AC197" s="63"/>
      <c r="AD197" s="428"/>
      <c r="AE197" s="428"/>
      <c r="AF197" s="428"/>
      <c r="AG197" s="43"/>
      <c r="AH197" s="183" t="str">
        <f>IF(COUNTA(CCTSAS[[#This Row],[Nom]:[heures annuelles
selon contrat(s)]])=0,"",REVEX!$E$9)</f>
        <v/>
      </c>
      <c r="AI197" s="72" t="str">
        <f>IF(CCTSAS[[#This Row],[Allocation fonctions]]="","",IF(ISNA(VLOOKUP(CCTSAS[[#This Row],[Allocation fonctions]],DROPDOWN[Dropdown82],1,FALSE))=TRUE,"Veuillez utiliser les allocations parmis la liste déroulante.",""))</f>
        <v/>
      </c>
    </row>
    <row r="198" spans="1:35" x14ac:dyDescent="0.25">
      <c r="A198" s="72" t="str">
        <f>IF(CCTSAS[[#This Row],[Carrière]]="","",IF(ISNA(VLOOKUP(CCTSAS[[#This Row],[Carrière]],DROPDOWN[Dropdown9],1,FALSE))=TRUE,"Carrière: Utiliser la liste déroulante",""))</f>
        <v/>
      </c>
      <c r="B198" s="554" t="str">
        <f>IF(CCTSAS[[#This Row],[Matricule]]="","",MAX($B$7:B197)+1)</f>
        <v/>
      </c>
      <c r="C198" s="8"/>
      <c r="D198" s="8"/>
      <c r="E198" s="20"/>
      <c r="F198" s="63"/>
      <c r="G198" s="8"/>
      <c r="H198" s="8"/>
      <c r="I198" s="10"/>
      <c r="J198" s="10"/>
      <c r="K198" s="9"/>
      <c r="L198" s="9"/>
      <c r="M198" s="9"/>
      <c r="N19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8" s="660"/>
      <c r="P198" s="660"/>
      <c r="Q198" s="461"/>
      <c r="R198" s="381"/>
      <c r="S198" s="37"/>
      <c r="T198" s="37"/>
      <c r="U198" s="37"/>
      <c r="V198" s="37"/>
      <c r="W198" s="37"/>
      <c r="X198" s="37"/>
      <c r="Y19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8" s="37"/>
      <c r="AA198" s="662" t="str">
        <f>IF(COUNTA(CCTSAS[[#This Row],[Nom]:[heures annuelles
selon contrat(s)]])=0,"",CCTSAS[[#This Row],[Total global]]-ABS(CCTSAS[[#This Row],[Dont non opposable]]))</f>
        <v/>
      </c>
      <c r="AB198" s="8"/>
      <c r="AC198" s="63"/>
      <c r="AD198" s="428"/>
      <c r="AE198" s="428"/>
      <c r="AF198" s="428"/>
      <c r="AG198" s="43"/>
      <c r="AH198" s="183" t="str">
        <f>IF(COUNTA(CCTSAS[[#This Row],[Nom]:[heures annuelles
selon contrat(s)]])=0,"",REVEX!$E$9)</f>
        <v/>
      </c>
      <c r="AI198" s="72" t="str">
        <f>IF(CCTSAS[[#This Row],[Allocation fonctions]]="","",IF(ISNA(VLOOKUP(CCTSAS[[#This Row],[Allocation fonctions]],DROPDOWN[Dropdown82],1,FALSE))=TRUE,"Veuillez utiliser les allocations parmis la liste déroulante.",""))</f>
        <v/>
      </c>
    </row>
    <row r="199" spans="1:35" x14ac:dyDescent="0.25">
      <c r="A199" s="72" t="str">
        <f>IF(CCTSAS[[#This Row],[Carrière]]="","",IF(ISNA(VLOOKUP(CCTSAS[[#This Row],[Carrière]],DROPDOWN[Dropdown9],1,FALSE))=TRUE,"Carrière: Utiliser la liste déroulante",""))</f>
        <v/>
      </c>
      <c r="B199" s="554" t="str">
        <f>IF(CCTSAS[[#This Row],[Matricule]]="","",MAX($B$7:B198)+1)</f>
        <v/>
      </c>
      <c r="C199" s="8"/>
      <c r="D199" s="8"/>
      <c r="E199" s="20"/>
      <c r="F199" s="63"/>
      <c r="G199" s="8"/>
      <c r="H199" s="8"/>
      <c r="I199" s="10"/>
      <c r="J199" s="10"/>
      <c r="K199" s="9"/>
      <c r="L199" s="9"/>
      <c r="M199" s="9"/>
      <c r="N19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199" s="660"/>
      <c r="P199" s="660"/>
      <c r="Q199" s="461"/>
      <c r="R199" s="381"/>
      <c r="S199" s="37"/>
      <c r="T199" s="37"/>
      <c r="U199" s="37"/>
      <c r="V199" s="37"/>
      <c r="W199" s="37"/>
      <c r="X199" s="37"/>
      <c r="Y19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199" s="37"/>
      <c r="AA199" s="662" t="str">
        <f>IF(COUNTA(CCTSAS[[#This Row],[Nom]:[heures annuelles
selon contrat(s)]])=0,"",CCTSAS[[#This Row],[Total global]]-ABS(CCTSAS[[#This Row],[Dont non opposable]]))</f>
        <v/>
      </c>
      <c r="AB199" s="8"/>
      <c r="AC199" s="63"/>
      <c r="AD199" s="428"/>
      <c r="AE199" s="428"/>
      <c r="AF199" s="428"/>
      <c r="AG199" s="43"/>
      <c r="AH199" s="183" t="str">
        <f>IF(COUNTA(CCTSAS[[#This Row],[Nom]:[heures annuelles
selon contrat(s)]])=0,"",REVEX!$E$9)</f>
        <v/>
      </c>
      <c r="AI199" s="72" t="str">
        <f>IF(CCTSAS[[#This Row],[Allocation fonctions]]="","",IF(ISNA(VLOOKUP(CCTSAS[[#This Row],[Allocation fonctions]],DROPDOWN[Dropdown82],1,FALSE))=TRUE,"Veuillez utiliser les allocations parmis la liste déroulante.",""))</f>
        <v/>
      </c>
    </row>
    <row r="200" spans="1:35" x14ac:dyDescent="0.25">
      <c r="A200" s="72" t="str">
        <f>IF(CCTSAS[[#This Row],[Carrière]]="","",IF(ISNA(VLOOKUP(CCTSAS[[#This Row],[Carrière]],DROPDOWN[Dropdown9],1,FALSE))=TRUE,"Carrière: Utiliser la liste déroulante",""))</f>
        <v/>
      </c>
      <c r="B200" s="554" t="str">
        <f>IF(CCTSAS[[#This Row],[Matricule]]="","",MAX($B$7:B199)+1)</f>
        <v/>
      </c>
      <c r="C200" s="8"/>
      <c r="D200" s="8"/>
      <c r="E200" s="20"/>
      <c r="F200" s="63"/>
      <c r="G200" s="8"/>
      <c r="H200" s="8"/>
      <c r="I200" s="10"/>
      <c r="J200" s="10"/>
      <c r="K200" s="9"/>
      <c r="L200" s="9"/>
      <c r="M200" s="9"/>
      <c r="N20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0" s="660"/>
      <c r="P200" s="660"/>
      <c r="Q200" s="461"/>
      <c r="R200" s="381"/>
      <c r="S200" s="37"/>
      <c r="T200" s="37"/>
      <c r="U200" s="37"/>
      <c r="V200" s="37"/>
      <c r="W200" s="37"/>
      <c r="X200" s="37"/>
      <c r="Y20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0" s="37"/>
      <c r="AA200" s="662" t="str">
        <f>IF(COUNTA(CCTSAS[[#This Row],[Nom]:[heures annuelles
selon contrat(s)]])=0,"",CCTSAS[[#This Row],[Total global]]-ABS(CCTSAS[[#This Row],[Dont non opposable]]))</f>
        <v/>
      </c>
      <c r="AB200" s="8"/>
      <c r="AC200" s="63"/>
      <c r="AD200" s="428"/>
      <c r="AE200" s="428"/>
      <c r="AF200" s="428"/>
      <c r="AG200" s="43"/>
      <c r="AH200" s="183" t="str">
        <f>IF(COUNTA(CCTSAS[[#This Row],[Nom]:[heures annuelles
selon contrat(s)]])=0,"",REVEX!$E$9)</f>
        <v/>
      </c>
      <c r="AI200" s="72" t="str">
        <f>IF(CCTSAS[[#This Row],[Allocation fonctions]]="","",IF(ISNA(VLOOKUP(CCTSAS[[#This Row],[Allocation fonctions]],DROPDOWN[Dropdown82],1,FALSE))=TRUE,"Veuillez utiliser les allocations parmis la liste déroulante.",""))</f>
        <v/>
      </c>
    </row>
    <row r="201" spans="1:35" x14ac:dyDescent="0.25">
      <c r="A201" s="72" t="str">
        <f>IF(CCTSAS[[#This Row],[Carrière]]="","",IF(ISNA(VLOOKUP(CCTSAS[[#This Row],[Carrière]],DROPDOWN[Dropdown9],1,FALSE))=TRUE,"Carrière: Utiliser la liste déroulante",""))</f>
        <v/>
      </c>
      <c r="B201" s="554" t="str">
        <f>IF(CCTSAS[[#This Row],[Matricule]]="","",MAX($B$7:B200)+1)</f>
        <v/>
      </c>
      <c r="C201" s="8"/>
      <c r="D201" s="8"/>
      <c r="E201" s="20"/>
      <c r="F201" s="63"/>
      <c r="G201" s="8"/>
      <c r="H201" s="8"/>
      <c r="I201" s="10"/>
      <c r="J201" s="10"/>
      <c r="K201" s="9"/>
      <c r="L201" s="9"/>
      <c r="M201" s="9"/>
      <c r="N20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1" s="660"/>
      <c r="P201" s="660"/>
      <c r="Q201" s="461"/>
      <c r="R201" s="381"/>
      <c r="S201" s="37"/>
      <c r="T201" s="37"/>
      <c r="U201" s="37"/>
      <c r="V201" s="37"/>
      <c r="W201" s="37"/>
      <c r="X201" s="37"/>
      <c r="Y20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1" s="37"/>
      <c r="AA201" s="662" t="str">
        <f>IF(COUNTA(CCTSAS[[#This Row],[Nom]:[heures annuelles
selon contrat(s)]])=0,"",CCTSAS[[#This Row],[Total global]]-ABS(CCTSAS[[#This Row],[Dont non opposable]]))</f>
        <v/>
      </c>
      <c r="AB201" s="8"/>
      <c r="AC201" s="63"/>
      <c r="AD201" s="428"/>
      <c r="AE201" s="428"/>
      <c r="AF201" s="428"/>
      <c r="AG201" s="43"/>
      <c r="AH201" s="183" t="str">
        <f>IF(COUNTA(CCTSAS[[#This Row],[Nom]:[heures annuelles
selon contrat(s)]])=0,"",REVEX!$E$9)</f>
        <v/>
      </c>
      <c r="AI201" s="72" t="str">
        <f>IF(CCTSAS[[#This Row],[Allocation fonctions]]="","",IF(ISNA(VLOOKUP(CCTSAS[[#This Row],[Allocation fonctions]],DROPDOWN[Dropdown82],1,FALSE))=TRUE,"Veuillez utiliser les allocations parmis la liste déroulante.",""))</f>
        <v/>
      </c>
    </row>
    <row r="202" spans="1:35" x14ac:dyDescent="0.25">
      <c r="A202" s="72" t="str">
        <f>IF(CCTSAS[[#This Row],[Carrière]]="","",IF(ISNA(VLOOKUP(CCTSAS[[#This Row],[Carrière]],DROPDOWN[Dropdown9],1,FALSE))=TRUE,"Carrière: Utiliser la liste déroulante",""))</f>
        <v/>
      </c>
      <c r="B202" s="554" t="str">
        <f>IF(CCTSAS[[#This Row],[Matricule]]="","",MAX($B$7:B201)+1)</f>
        <v/>
      </c>
      <c r="C202" s="8"/>
      <c r="D202" s="8"/>
      <c r="E202" s="20"/>
      <c r="F202" s="63"/>
      <c r="G202" s="8"/>
      <c r="H202" s="8"/>
      <c r="I202" s="10"/>
      <c r="J202" s="10"/>
      <c r="K202" s="9"/>
      <c r="L202" s="9"/>
      <c r="M202" s="9"/>
      <c r="N20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2" s="660"/>
      <c r="P202" s="660"/>
      <c r="Q202" s="461"/>
      <c r="R202" s="381"/>
      <c r="S202" s="37"/>
      <c r="T202" s="37"/>
      <c r="U202" s="37"/>
      <c r="V202" s="37"/>
      <c r="W202" s="37"/>
      <c r="X202" s="37"/>
      <c r="Y20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2" s="37"/>
      <c r="AA202" s="662" t="str">
        <f>IF(COUNTA(CCTSAS[[#This Row],[Nom]:[heures annuelles
selon contrat(s)]])=0,"",CCTSAS[[#This Row],[Total global]]-ABS(CCTSAS[[#This Row],[Dont non opposable]]))</f>
        <v/>
      </c>
      <c r="AB202" s="8"/>
      <c r="AC202" s="63"/>
      <c r="AD202" s="428"/>
      <c r="AE202" s="428"/>
      <c r="AF202" s="428"/>
      <c r="AG202" s="43"/>
      <c r="AH202" s="183" t="str">
        <f>IF(COUNTA(CCTSAS[[#This Row],[Nom]:[heures annuelles
selon contrat(s)]])=0,"",REVEX!$E$9)</f>
        <v/>
      </c>
      <c r="AI202" s="72" t="str">
        <f>IF(CCTSAS[[#This Row],[Allocation fonctions]]="","",IF(ISNA(VLOOKUP(CCTSAS[[#This Row],[Allocation fonctions]],DROPDOWN[Dropdown82],1,FALSE))=TRUE,"Veuillez utiliser les allocations parmis la liste déroulante.",""))</f>
        <v/>
      </c>
    </row>
    <row r="203" spans="1:35" x14ac:dyDescent="0.25">
      <c r="A203" s="72" t="str">
        <f>IF(CCTSAS[[#This Row],[Carrière]]="","",IF(ISNA(VLOOKUP(CCTSAS[[#This Row],[Carrière]],DROPDOWN[Dropdown9],1,FALSE))=TRUE,"Carrière: Utiliser la liste déroulante",""))</f>
        <v/>
      </c>
      <c r="B203" s="554" t="str">
        <f>IF(CCTSAS[[#This Row],[Matricule]]="","",MAX($B$7:B202)+1)</f>
        <v/>
      </c>
      <c r="C203" s="8"/>
      <c r="D203" s="8"/>
      <c r="E203" s="20"/>
      <c r="F203" s="63"/>
      <c r="G203" s="8"/>
      <c r="H203" s="8"/>
      <c r="I203" s="10"/>
      <c r="J203" s="10"/>
      <c r="K203" s="9"/>
      <c r="L203" s="9"/>
      <c r="M203" s="9"/>
      <c r="N20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3" s="660"/>
      <c r="P203" s="660"/>
      <c r="Q203" s="461"/>
      <c r="R203" s="381"/>
      <c r="S203" s="37"/>
      <c r="T203" s="37"/>
      <c r="U203" s="37"/>
      <c r="V203" s="37"/>
      <c r="W203" s="37"/>
      <c r="X203" s="37"/>
      <c r="Y20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3" s="37"/>
      <c r="AA203" s="662" t="str">
        <f>IF(COUNTA(CCTSAS[[#This Row],[Nom]:[heures annuelles
selon contrat(s)]])=0,"",CCTSAS[[#This Row],[Total global]]-ABS(CCTSAS[[#This Row],[Dont non opposable]]))</f>
        <v/>
      </c>
      <c r="AB203" s="8"/>
      <c r="AC203" s="63"/>
      <c r="AD203" s="428"/>
      <c r="AE203" s="428"/>
      <c r="AF203" s="428"/>
      <c r="AG203" s="43"/>
      <c r="AH203" s="183" t="str">
        <f>IF(COUNTA(CCTSAS[[#This Row],[Nom]:[heures annuelles
selon contrat(s)]])=0,"",REVEX!$E$9)</f>
        <v/>
      </c>
      <c r="AI203" s="72" t="str">
        <f>IF(CCTSAS[[#This Row],[Allocation fonctions]]="","",IF(ISNA(VLOOKUP(CCTSAS[[#This Row],[Allocation fonctions]],DROPDOWN[Dropdown82],1,FALSE))=TRUE,"Veuillez utiliser les allocations parmis la liste déroulante.",""))</f>
        <v/>
      </c>
    </row>
    <row r="204" spans="1:35" x14ac:dyDescent="0.25">
      <c r="A204" s="72" t="str">
        <f>IF(CCTSAS[[#This Row],[Carrière]]="","",IF(ISNA(VLOOKUP(CCTSAS[[#This Row],[Carrière]],DROPDOWN[Dropdown9],1,FALSE))=TRUE,"Carrière: Utiliser la liste déroulante",""))</f>
        <v/>
      </c>
      <c r="B204" s="554" t="str">
        <f>IF(CCTSAS[[#This Row],[Matricule]]="","",MAX($B$7:B203)+1)</f>
        <v/>
      </c>
      <c r="C204" s="8"/>
      <c r="D204" s="8"/>
      <c r="E204" s="20"/>
      <c r="F204" s="63"/>
      <c r="G204" s="8"/>
      <c r="H204" s="8"/>
      <c r="I204" s="10"/>
      <c r="J204" s="10"/>
      <c r="K204" s="9"/>
      <c r="L204" s="9"/>
      <c r="M204" s="9"/>
      <c r="N20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4" s="660"/>
      <c r="P204" s="660"/>
      <c r="Q204" s="461"/>
      <c r="R204" s="381"/>
      <c r="S204" s="37"/>
      <c r="T204" s="37"/>
      <c r="U204" s="37"/>
      <c r="V204" s="37"/>
      <c r="W204" s="37"/>
      <c r="X204" s="37"/>
      <c r="Y20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4" s="37"/>
      <c r="AA204" s="662" t="str">
        <f>IF(COUNTA(CCTSAS[[#This Row],[Nom]:[heures annuelles
selon contrat(s)]])=0,"",CCTSAS[[#This Row],[Total global]]-ABS(CCTSAS[[#This Row],[Dont non opposable]]))</f>
        <v/>
      </c>
      <c r="AB204" s="8"/>
      <c r="AC204" s="63"/>
      <c r="AD204" s="428"/>
      <c r="AE204" s="428"/>
      <c r="AF204" s="428"/>
      <c r="AG204" s="43"/>
      <c r="AH204" s="183" t="str">
        <f>IF(COUNTA(CCTSAS[[#This Row],[Nom]:[heures annuelles
selon contrat(s)]])=0,"",REVEX!$E$9)</f>
        <v/>
      </c>
      <c r="AI204" s="72" t="str">
        <f>IF(CCTSAS[[#This Row],[Allocation fonctions]]="","",IF(ISNA(VLOOKUP(CCTSAS[[#This Row],[Allocation fonctions]],DROPDOWN[Dropdown82],1,FALSE))=TRUE,"Veuillez utiliser les allocations parmis la liste déroulante.",""))</f>
        <v/>
      </c>
    </row>
    <row r="205" spans="1:35" x14ac:dyDescent="0.25">
      <c r="A205" s="72" t="str">
        <f>IF(CCTSAS[[#This Row],[Carrière]]="","",IF(ISNA(VLOOKUP(CCTSAS[[#This Row],[Carrière]],DROPDOWN[Dropdown9],1,FALSE))=TRUE,"Carrière: Utiliser la liste déroulante",""))</f>
        <v/>
      </c>
      <c r="B205" s="554" t="str">
        <f>IF(CCTSAS[[#This Row],[Matricule]]="","",MAX($B$7:B204)+1)</f>
        <v/>
      </c>
      <c r="C205" s="8"/>
      <c r="D205" s="8"/>
      <c r="E205" s="20"/>
      <c r="F205" s="63"/>
      <c r="G205" s="8"/>
      <c r="H205" s="8"/>
      <c r="I205" s="10"/>
      <c r="J205" s="10"/>
      <c r="K205" s="9"/>
      <c r="L205" s="9"/>
      <c r="M205" s="9"/>
      <c r="N20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5" s="660"/>
      <c r="P205" s="660"/>
      <c r="Q205" s="461"/>
      <c r="R205" s="381"/>
      <c r="S205" s="37"/>
      <c r="T205" s="37"/>
      <c r="U205" s="37"/>
      <c r="V205" s="37"/>
      <c r="W205" s="37"/>
      <c r="X205" s="37"/>
      <c r="Y20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5" s="37"/>
      <c r="AA205" s="662" t="str">
        <f>IF(COUNTA(CCTSAS[[#This Row],[Nom]:[heures annuelles
selon contrat(s)]])=0,"",CCTSAS[[#This Row],[Total global]]-ABS(CCTSAS[[#This Row],[Dont non opposable]]))</f>
        <v/>
      </c>
      <c r="AB205" s="8"/>
      <c r="AC205" s="63"/>
      <c r="AD205" s="428"/>
      <c r="AE205" s="428"/>
      <c r="AF205" s="428"/>
      <c r="AG205" s="43"/>
      <c r="AH205" s="183" t="str">
        <f>IF(COUNTA(CCTSAS[[#This Row],[Nom]:[heures annuelles
selon contrat(s)]])=0,"",REVEX!$E$9)</f>
        <v/>
      </c>
      <c r="AI205" s="72" t="str">
        <f>IF(CCTSAS[[#This Row],[Allocation fonctions]]="","",IF(ISNA(VLOOKUP(CCTSAS[[#This Row],[Allocation fonctions]],DROPDOWN[Dropdown82],1,FALSE))=TRUE,"Veuillez utiliser les allocations parmis la liste déroulante.",""))</f>
        <v/>
      </c>
    </row>
    <row r="206" spans="1:35" x14ac:dyDescent="0.25">
      <c r="A206" s="72" t="str">
        <f>IF(CCTSAS[[#This Row],[Carrière]]="","",IF(ISNA(VLOOKUP(CCTSAS[[#This Row],[Carrière]],DROPDOWN[Dropdown9],1,FALSE))=TRUE,"Carrière: Utiliser la liste déroulante",""))</f>
        <v/>
      </c>
      <c r="B206" s="554" t="str">
        <f>IF(CCTSAS[[#This Row],[Matricule]]="","",MAX($B$7:B205)+1)</f>
        <v/>
      </c>
      <c r="C206" s="8"/>
      <c r="D206" s="8"/>
      <c r="E206" s="20"/>
      <c r="F206" s="63"/>
      <c r="G206" s="8"/>
      <c r="H206" s="8"/>
      <c r="I206" s="10"/>
      <c r="J206" s="10"/>
      <c r="K206" s="9"/>
      <c r="L206" s="9"/>
      <c r="M206" s="9"/>
      <c r="N20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6" s="660"/>
      <c r="P206" s="660"/>
      <c r="Q206" s="461"/>
      <c r="R206" s="381"/>
      <c r="S206" s="37"/>
      <c r="T206" s="37"/>
      <c r="U206" s="37"/>
      <c r="V206" s="37"/>
      <c r="W206" s="37"/>
      <c r="X206" s="37"/>
      <c r="Y20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6" s="37"/>
      <c r="AA206" s="662" t="str">
        <f>IF(COUNTA(CCTSAS[[#This Row],[Nom]:[heures annuelles
selon contrat(s)]])=0,"",CCTSAS[[#This Row],[Total global]]-ABS(CCTSAS[[#This Row],[Dont non opposable]]))</f>
        <v/>
      </c>
      <c r="AB206" s="8"/>
      <c r="AC206" s="63"/>
      <c r="AD206" s="428"/>
      <c r="AE206" s="428"/>
      <c r="AF206" s="428"/>
      <c r="AG206" s="43"/>
      <c r="AH206" s="183" t="str">
        <f>IF(COUNTA(CCTSAS[[#This Row],[Nom]:[heures annuelles
selon contrat(s)]])=0,"",REVEX!$E$9)</f>
        <v/>
      </c>
      <c r="AI206" s="72" t="str">
        <f>IF(CCTSAS[[#This Row],[Allocation fonctions]]="","",IF(ISNA(VLOOKUP(CCTSAS[[#This Row],[Allocation fonctions]],DROPDOWN[Dropdown82],1,FALSE))=TRUE,"Veuillez utiliser les allocations parmis la liste déroulante.",""))</f>
        <v/>
      </c>
    </row>
    <row r="207" spans="1:35" x14ac:dyDescent="0.25">
      <c r="A207" s="72" t="str">
        <f>IF(CCTSAS[[#This Row],[Carrière]]="","",IF(ISNA(VLOOKUP(CCTSAS[[#This Row],[Carrière]],DROPDOWN[Dropdown9],1,FALSE))=TRUE,"Carrière: Utiliser la liste déroulante",""))</f>
        <v/>
      </c>
      <c r="B207" s="554" t="str">
        <f>IF(CCTSAS[[#This Row],[Matricule]]="","",MAX($B$7:B206)+1)</f>
        <v/>
      </c>
      <c r="C207" s="8"/>
      <c r="D207" s="8"/>
      <c r="E207" s="20"/>
      <c r="F207" s="63"/>
      <c r="G207" s="8"/>
      <c r="H207" s="8"/>
      <c r="I207" s="10"/>
      <c r="J207" s="10"/>
      <c r="K207" s="9"/>
      <c r="L207" s="9"/>
      <c r="M207" s="9"/>
      <c r="N20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7" s="660"/>
      <c r="P207" s="660"/>
      <c r="Q207" s="461"/>
      <c r="R207" s="381"/>
      <c r="S207" s="37"/>
      <c r="T207" s="37"/>
      <c r="U207" s="37"/>
      <c r="V207" s="37"/>
      <c r="W207" s="37"/>
      <c r="X207" s="37"/>
      <c r="Y20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7" s="37"/>
      <c r="AA207" s="662" t="str">
        <f>IF(COUNTA(CCTSAS[[#This Row],[Nom]:[heures annuelles
selon contrat(s)]])=0,"",CCTSAS[[#This Row],[Total global]]-ABS(CCTSAS[[#This Row],[Dont non opposable]]))</f>
        <v/>
      </c>
      <c r="AB207" s="8"/>
      <c r="AC207" s="63"/>
      <c r="AD207" s="428"/>
      <c r="AE207" s="428"/>
      <c r="AF207" s="428"/>
      <c r="AG207" s="43"/>
      <c r="AH207" s="183" t="str">
        <f>IF(COUNTA(CCTSAS[[#This Row],[Nom]:[heures annuelles
selon contrat(s)]])=0,"",REVEX!$E$9)</f>
        <v/>
      </c>
      <c r="AI207" s="72" t="str">
        <f>IF(CCTSAS[[#This Row],[Allocation fonctions]]="","",IF(ISNA(VLOOKUP(CCTSAS[[#This Row],[Allocation fonctions]],DROPDOWN[Dropdown82],1,FALSE))=TRUE,"Veuillez utiliser les allocations parmis la liste déroulante.",""))</f>
        <v/>
      </c>
    </row>
    <row r="208" spans="1:35" x14ac:dyDescent="0.25">
      <c r="A208" s="72" t="str">
        <f>IF(CCTSAS[[#This Row],[Carrière]]="","",IF(ISNA(VLOOKUP(CCTSAS[[#This Row],[Carrière]],DROPDOWN[Dropdown9],1,FALSE))=TRUE,"Carrière: Utiliser la liste déroulante",""))</f>
        <v/>
      </c>
      <c r="B208" s="554" t="str">
        <f>IF(CCTSAS[[#This Row],[Matricule]]="","",MAX($B$7:B207)+1)</f>
        <v/>
      </c>
      <c r="C208" s="8"/>
      <c r="D208" s="8"/>
      <c r="E208" s="20"/>
      <c r="F208" s="63"/>
      <c r="G208" s="8"/>
      <c r="H208" s="8"/>
      <c r="I208" s="10"/>
      <c r="J208" s="10"/>
      <c r="K208" s="9"/>
      <c r="L208" s="9"/>
      <c r="M208" s="9"/>
      <c r="N20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8" s="660"/>
      <c r="P208" s="660"/>
      <c r="Q208" s="461"/>
      <c r="R208" s="381"/>
      <c r="S208" s="37"/>
      <c r="T208" s="37"/>
      <c r="U208" s="37"/>
      <c r="V208" s="37"/>
      <c r="W208" s="37"/>
      <c r="X208" s="37"/>
      <c r="Y20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8" s="37"/>
      <c r="AA208" s="662" t="str">
        <f>IF(COUNTA(CCTSAS[[#This Row],[Nom]:[heures annuelles
selon contrat(s)]])=0,"",CCTSAS[[#This Row],[Total global]]-ABS(CCTSAS[[#This Row],[Dont non opposable]]))</f>
        <v/>
      </c>
      <c r="AB208" s="8"/>
      <c r="AC208" s="63"/>
      <c r="AD208" s="428"/>
      <c r="AE208" s="428"/>
      <c r="AF208" s="428"/>
      <c r="AG208" s="43"/>
      <c r="AH208" s="183" t="str">
        <f>IF(COUNTA(CCTSAS[[#This Row],[Nom]:[heures annuelles
selon contrat(s)]])=0,"",REVEX!$E$9)</f>
        <v/>
      </c>
      <c r="AI208" s="72" t="str">
        <f>IF(CCTSAS[[#This Row],[Allocation fonctions]]="","",IF(ISNA(VLOOKUP(CCTSAS[[#This Row],[Allocation fonctions]],DROPDOWN[Dropdown82],1,FALSE))=TRUE,"Veuillez utiliser les allocations parmis la liste déroulante.",""))</f>
        <v/>
      </c>
    </row>
    <row r="209" spans="1:35" x14ac:dyDescent="0.25">
      <c r="A209" s="72" t="str">
        <f>IF(CCTSAS[[#This Row],[Carrière]]="","",IF(ISNA(VLOOKUP(CCTSAS[[#This Row],[Carrière]],DROPDOWN[Dropdown9],1,FALSE))=TRUE,"Carrière: Utiliser la liste déroulante",""))</f>
        <v/>
      </c>
      <c r="B209" s="554" t="str">
        <f>IF(CCTSAS[[#This Row],[Matricule]]="","",MAX($B$7:B208)+1)</f>
        <v/>
      </c>
      <c r="C209" s="8"/>
      <c r="D209" s="8"/>
      <c r="E209" s="20"/>
      <c r="F209" s="63"/>
      <c r="G209" s="8"/>
      <c r="H209" s="8"/>
      <c r="I209" s="10"/>
      <c r="J209" s="10"/>
      <c r="K209" s="9"/>
      <c r="L209" s="9"/>
      <c r="M209" s="9"/>
      <c r="N20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09" s="660"/>
      <c r="P209" s="660"/>
      <c r="Q209" s="461"/>
      <c r="R209" s="381"/>
      <c r="S209" s="37"/>
      <c r="T209" s="37"/>
      <c r="U209" s="37"/>
      <c r="V209" s="37"/>
      <c r="W209" s="37"/>
      <c r="X209" s="37"/>
      <c r="Y20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09" s="37"/>
      <c r="AA209" s="662" t="str">
        <f>IF(COUNTA(CCTSAS[[#This Row],[Nom]:[heures annuelles
selon contrat(s)]])=0,"",CCTSAS[[#This Row],[Total global]]-ABS(CCTSAS[[#This Row],[Dont non opposable]]))</f>
        <v/>
      </c>
      <c r="AB209" s="8"/>
      <c r="AC209" s="63"/>
      <c r="AD209" s="428"/>
      <c r="AE209" s="428"/>
      <c r="AF209" s="428"/>
      <c r="AG209" s="43"/>
      <c r="AH209" s="183" t="str">
        <f>IF(COUNTA(CCTSAS[[#This Row],[Nom]:[heures annuelles
selon contrat(s)]])=0,"",REVEX!$E$9)</f>
        <v/>
      </c>
      <c r="AI209" s="72" t="str">
        <f>IF(CCTSAS[[#This Row],[Allocation fonctions]]="","",IF(ISNA(VLOOKUP(CCTSAS[[#This Row],[Allocation fonctions]],DROPDOWN[Dropdown82],1,FALSE))=TRUE,"Veuillez utiliser les allocations parmis la liste déroulante.",""))</f>
        <v/>
      </c>
    </row>
    <row r="210" spans="1:35" x14ac:dyDescent="0.25">
      <c r="A210" s="72" t="str">
        <f>IF(CCTSAS[[#This Row],[Carrière]]="","",IF(ISNA(VLOOKUP(CCTSAS[[#This Row],[Carrière]],DROPDOWN[Dropdown9],1,FALSE))=TRUE,"Carrière: Utiliser la liste déroulante",""))</f>
        <v/>
      </c>
      <c r="B210" s="554" t="str">
        <f>IF(CCTSAS[[#This Row],[Matricule]]="","",MAX($B$7:B209)+1)</f>
        <v/>
      </c>
      <c r="C210" s="8"/>
      <c r="D210" s="8"/>
      <c r="E210" s="20"/>
      <c r="F210" s="63"/>
      <c r="G210" s="8"/>
      <c r="H210" s="8"/>
      <c r="I210" s="10"/>
      <c r="J210" s="10"/>
      <c r="K210" s="9"/>
      <c r="L210" s="9"/>
      <c r="M210" s="9"/>
      <c r="N21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0" s="660"/>
      <c r="P210" s="660"/>
      <c r="Q210" s="461"/>
      <c r="R210" s="381"/>
      <c r="S210" s="37"/>
      <c r="T210" s="37"/>
      <c r="U210" s="37"/>
      <c r="V210" s="37"/>
      <c r="W210" s="37"/>
      <c r="X210" s="37"/>
      <c r="Y21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0" s="37"/>
      <c r="AA210" s="662" t="str">
        <f>IF(COUNTA(CCTSAS[[#This Row],[Nom]:[heures annuelles
selon contrat(s)]])=0,"",CCTSAS[[#This Row],[Total global]]-ABS(CCTSAS[[#This Row],[Dont non opposable]]))</f>
        <v/>
      </c>
      <c r="AB210" s="8"/>
      <c r="AC210" s="63"/>
      <c r="AD210" s="428"/>
      <c r="AE210" s="428"/>
      <c r="AF210" s="428"/>
      <c r="AG210" s="43"/>
      <c r="AH210" s="183" t="str">
        <f>IF(COUNTA(CCTSAS[[#This Row],[Nom]:[heures annuelles
selon contrat(s)]])=0,"",REVEX!$E$9)</f>
        <v/>
      </c>
      <c r="AI210" s="72" t="str">
        <f>IF(CCTSAS[[#This Row],[Allocation fonctions]]="","",IF(ISNA(VLOOKUP(CCTSAS[[#This Row],[Allocation fonctions]],DROPDOWN[Dropdown82],1,FALSE))=TRUE,"Veuillez utiliser les allocations parmis la liste déroulante.",""))</f>
        <v/>
      </c>
    </row>
    <row r="211" spans="1:35" x14ac:dyDescent="0.25">
      <c r="A211" s="72" t="str">
        <f>IF(CCTSAS[[#This Row],[Carrière]]="","",IF(ISNA(VLOOKUP(CCTSAS[[#This Row],[Carrière]],DROPDOWN[Dropdown9],1,FALSE))=TRUE,"Carrière: Utiliser la liste déroulante",""))</f>
        <v/>
      </c>
      <c r="B211" s="554" t="str">
        <f>IF(CCTSAS[[#This Row],[Matricule]]="","",MAX($B$7:B210)+1)</f>
        <v/>
      </c>
      <c r="C211" s="8"/>
      <c r="D211" s="8"/>
      <c r="E211" s="20"/>
      <c r="F211" s="63"/>
      <c r="G211" s="8"/>
      <c r="H211" s="8"/>
      <c r="I211" s="10"/>
      <c r="J211" s="10"/>
      <c r="K211" s="9"/>
      <c r="L211" s="9"/>
      <c r="M211" s="9"/>
      <c r="N21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1" s="660"/>
      <c r="P211" s="660"/>
      <c r="Q211" s="461"/>
      <c r="R211" s="381"/>
      <c r="S211" s="37"/>
      <c r="T211" s="37"/>
      <c r="U211" s="37"/>
      <c r="V211" s="37"/>
      <c r="W211" s="37"/>
      <c r="X211" s="37"/>
      <c r="Y21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1" s="37"/>
      <c r="AA211" s="662" t="str">
        <f>IF(COUNTA(CCTSAS[[#This Row],[Nom]:[heures annuelles
selon contrat(s)]])=0,"",CCTSAS[[#This Row],[Total global]]-ABS(CCTSAS[[#This Row],[Dont non opposable]]))</f>
        <v/>
      </c>
      <c r="AB211" s="8"/>
      <c r="AC211" s="63"/>
      <c r="AD211" s="428"/>
      <c r="AE211" s="428"/>
      <c r="AF211" s="428"/>
      <c r="AG211" s="43"/>
      <c r="AH211" s="183" t="str">
        <f>IF(COUNTA(CCTSAS[[#This Row],[Nom]:[heures annuelles
selon contrat(s)]])=0,"",REVEX!$E$9)</f>
        <v/>
      </c>
      <c r="AI211" s="72" t="str">
        <f>IF(CCTSAS[[#This Row],[Allocation fonctions]]="","",IF(ISNA(VLOOKUP(CCTSAS[[#This Row],[Allocation fonctions]],DROPDOWN[Dropdown82],1,FALSE))=TRUE,"Veuillez utiliser les allocations parmis la liste déroulante.",""))</f>
        <v/>
      </c>
    </row>
    <row r="212" spans="1:35" x14ac:dyDescent="0.25">
      <c r="A212" s="72" t="str">
        <f>IF(CCTSAS[[#This Row],[Carrière]]="","",IF(ISNA(VLOOKUP(CCTSAS[[#This Row],[Carrière]],DROPDOWN[Dropdown9],1,FALSE))=TRUE,"Carrière: Utiliser la liste déroulante",""))</f>
        <v/>
      </c>
      <c r="B212" s="554" t="str">
        <f>IF(CCTSAS[[#This Row],[Matricule]]="","",MAX($B$7:B211)+1)</f>
        <v/>
      </c>
      <c r="C212" s="8"/>
      <c r="D212" s="8"/>
      <c r="E212" s="20"/>
      <c r="F212" s="63"/>
      <c r="G212" s="8"/>
      <c r="H212" s="8"/>
      <c r="I212" s="10"/>
      <c r="J212" s="10"/>
      <c r="K212" s="9"/>
      <c r="L212" s="9"/>
      <c r="M212" s="9"/>
      <c r="N21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2" s="660"/>
      <c r="P212" s="660"/>
      <c r="Q212" s="461"/>
      <c r="R212" s="381"/>
      <c r="S212" s="37"/>
      <c r="T212" s="37"/>
      <c r="U212" s="37"/>
      <c r="V212" s="37"/>
      <c r="W212" s="37"/>
      <c r="X212" s="37"/>
      <c r="Y21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2" s="37"/>
      <c r="AA212" s="662" t="str">
        <f>IF(COUNTA(CCTSAS[[#This Row],[Nom]:[heures annuelles
selon contrat(s)]])=0,"",CCTSAS[[#This Row],[Total global]]-ABS(CCTSAS[[#This Row],[Dont non opposable]]))</f>
        <v/>
      </c>
      <c r="AB212" s="8"/>
      <c r="AC212" s="63"/>
      <c r="AD212" s="428"/>
      <c r="AE212" s="428"/>
      <c r="AF212" s="428"/>
      <c r="AG212" s="43"/>
      <c r="AH212" s="183" t="str">
        <f>IF(COUNTA(CCTSAS[[#This Row],[Nom]:[heures annuelles
selon contrat(s)]])=0,"",REVEX!$E$9)</f>
        <v/>
      </c>
      <c r="AI212" s="72" t="str">
        <f>IF(CCTSAS[[#This Row],[Allocation fonctions]]="","",IF(ISNA(VLOOKUP(CCTSAS[[#This Row],[Allocation fonctions]],DROPDOWN[Dropdown82],1,FALSE))=TRUE,"Veuillez utiliser les allocations parmis la liste déroulante.",""))</f>
        <v/>
      </c>
    </row>
    <row r="213" spans="1:35" x14ac:dyDescent="0.25">
      <c r="A213" s="72" t="str">
        <f>IF(CCTSAS[[#This Row],[Carrière]]="","",IF(ISNA(VLOOKUP(CCTSAS[[#This Row],[Carrière]],DROPDOWN[Dropdown9],1,FALSE))=TRUE,"Carrière: Utiliser la liste déroulante",""))</f>
        <v/>
      </c>
      <c r="B213" s="554" t="str">
        <f>IF(CCTSAS[[#This Row],[Matricule]]="","",MAX($B$7:B212)+1)</f>
        <v/>
      </c>
      <c r="C213" s="8"/>
      <c r="D213" s="8"/>
      <c r="E213" s="20"/>
      <c r="F213" s="63"/>
      <c r="G213" s="8"/>
      <c r="H213" s="8"/>
      <c r="I213" s="10"/>
      <c r="J213" s="10"/>
      <c r="K213" s="9"/>
      <c r="L213" s="9"/>
      <c r="M213" s="9"/>
      <c r="N21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3" s="660"/>
      <c r="P213" s="660"/>
      <c r="Q213" s="461"/>
      <c r="R213" s="381"/>
      <c r="S213" s="37"/>
      <c r="T213" s="37"/>
      <c r="U213" s="37"/>
      <c r="V213" s="37"/>
      <c r="W213" s="37"/>
      <c r="X213" s="37"/>
      <c r="Y21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3" s="37"/>
      <c r="AA213" s="662" t="str">
        <f>IF(COUNTA(CCTSAS[[#This Row],[Nom]:[heures annuelles
selon contrat(s)]])=0,"",CCTSAS[[#This Row],[Total global]]-ABS(CCTSAS[[#This Row],[Dont non opposable]]))</f>
        <v/>
      </c>
      <c r="AB213" s="8"/>
      <c r="AC213" s="63"/>
      <c r="AD213" s="428"/>
      <c r="AE213" s="428"/>
      <c r="AF213" s="428"/>
      <c r="AG213" s="43"/>
      <c r="AH213" s="183" t="str">
        <f>IF(COUNTA(CCTSAS[[#This Row],[Nom]:[heures annuelles
selon contrat(s)]])=0,"",REVEX!$E$9)</f>
        <v/>
      </c>
      <c r="AI213" s="72" t="str">
        <f>IF(CCTSAS[[#This Row],[Allocation fonctions]]="","",IF(ISNA(VLOOKUP(CCTSAS[[#This Row],[Allocation fonctions]],DROPDOWN[Dropdown82],1,FALSE))=TRUE,"Veuillez utiliser les allocations parmis la liste déroulante.",""))</f>
        <v/>
      </c>
    </row>
    <row r="214" spans="1:35" x14ac:dyDescent="0.25">
      <c r="A214" s="72" t="str">
        <f>IF(CCTSAS[[#This Row],[Carrière]]="","",IF(ISNA(VLOOKUP(CCTSAS[[#This Row],[Carrière]],DROPDOWN[Dropdown9],1,FALSE))=TRUE,"Carrière: Utiliser la liste déroulante",""))</f>
        <v/>
      </c>
      <c r="B214" s="554" t="str">
        <f>IF(CCTSAS[[#This Row],[Matricule]]="","",MAX($B$7:B213)+1)</f>
        <v/>
      </c>
      <c r="C214" s="8"/>
      <c r="D214" s="8"/>
      <c r="E214" s="20"/>
      <c r="F214" s="63"/>
      <c r="G214" s="8"/>
      <c r="H214" s="8"/>
      <c r="I214" s="10"/>
      <c r="J214" s="10"/>
      <c r="K214" s="9"/>
      <c r="L214" s="9"/>
      <c r="M214" s="9"/>
      <c r="N21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4" s="660"/>
      <c r="P214" s="660"/>
      <c r="Q214" s="461"/>
      <c r="R214" s="381"/>
      <c r="S214" s="37"/>
      <c r="T214" s="37"/>
      <c r="U214" s="37"/>
      <c r="V214" s="37"/>
      <c r="W214" s="37"/>
      <c r="X214" s="37"/>
      <c r="Y21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4" s="37"/>
      <c r="AA214" s="662" t="str">
        <f>IF(COUNTA(CCTSAS[[#This Row],[Nom]:[heures annuelles
selon contrat(s)]])=0,"",CCTSAS[[#This Row],[Total global]]-ABS(CCTSAS[[#This Row],[Dont non opposable]]))</f>
        <v/>
      </c>
      <c r="AB214" s="8"/>
      <c r="AC214" s="63"/>
      <c r="AD214" s="428"/>
      <c r="AE214" s="428"/>
      <c r="AF214" s="428"/>
      <c r="AG214" s="43"/>
      <c r="AH214" s="183" t="str">
        <f>IF(COUNTA(CCTSAS[[#This Row],[Nom]:[heures annuelles
selon contrat(s)]])=0,"",REVEX!$E$9)</f>
        <v/>
      </c>
      <c r="AI214" s="72" t="str">
        <f>IF(CCTSAS[[#This Row],[Allocation fonctions]]="","",IF(ISNA(VLOOKUP(CCTSAS[[#This Row],[Allocation fonctions]],DROPDOWN[Dropdown82],1,FALSE))=TRUE,"Veuillez utiliser les allocations parmis la liste déroulante.",""))</f>
        <v/>
      </c>
    </row>
    <row r="215" spans="1:35" x14ac:dyDescent="0.25">
      <c r="A215" s="72" t="str">
        <f>IF(CCTSAS[[#This Row],[Carrière]]="","",IF(ISNA(VLOOKUP(CCTSAS[[#This Row],[Carrière]],DROPDOWN[Dropdown9],1,FALSE))=TRUE,"Carrière: Utiliser la liste déroulante",""))</f>
        <v/>
      </c>
      <c r="B215" s="554" t="str">
        <f>IF(CCTSAS[[#This Row],[Matricule]]="","",MAX($B$7:B214)+1)</f>
        <v/>
      </c>
      <c r="C215" s="8"/>
      <c r="D215" s="8"/>
      <c r="E215" s="20"/>
      <c r="F215" s="63"/>
      <c r="G215" s="8"/>
      <c r="H215" s="8"/>
      <c r="I215" s="10"/>
      <c r="J215" s="10"/>
      <c r="K215" s="9"/>
      <c r="L215" s="9"/>
      <c r="M215" s="9"/>
      <c r="N21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5" s="660"/>
      <c r="P215" s="660"/>
      <c r="Q215" s="461"/>
      <c r="R215" s="381"/>
      <c r="S215" s="37"/>
      <c r="T215" s="37"/>
      <c r="U215" s="37"/>
      <c r="V215" s="37"/>
      <c r="W215" s="37"/>
      <c r="X215" s="37"/>
      <c r="Y21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5" s="37"/>
      <c r="AA215" s="662" t="str">
        <f>IF(COUNTA(CCTSAS[[#This Row],[Nom]:[heures annuelles
selon contrat(s)]])=0,"",CCTSAS[[#This Row],[Total global]]-ABS(CCTSAS[[#This Row],[Dont non opposable]]))</f>
        <v/>
      </c>
      <c r="AB215" s="8"/>
      <c r="AC215" s="63"/>
      <c r="AD215" s="428"/>
      <c r="AE215" s="428"/>
      <c r="AF215" s="428"/>
      <c r="AG215" s="43"/>
      <c r="AH215" s="183" t="str">
        <f>IF(COUNTA(CCTSAS[[#This Row],[Nom]:[heures annuelles
selon contrat(s)]])=0,"",REVEX!$E$9)</f>
        <v/>
      </c>
      <c r="AI215" s="72" t="str">
        <f>IF(CCTSAS[[#This Row],[Allocation fonctions]]="","",IF(ISNA(VLOOKUP(CCTSAS[[#This Row],[Allocation fonctions]],DROPDOWN[Dropdown82],1,FALSE))=TRUE,"Veuillez utiliser les allocations parmis la liste déroulante.",""))</f>
        <v/>
      </c>
    </row>
    <row r="216" spans="1:35" x14ac:dyDescent="0.25">
      <c r="A216" s="72" t="str">
        <f>IF(CCTSAS[[#This Row],[Carrière]]="","",IF(ISNA(VLOOKUP(CCTSAS[[#This Row],[Carrière]],DROPDOWN[Dropdown9],1,FALSE))=TRUE,"Carrière: Utiliser la liste déroulante",""))</f>
        <v/>
      </c>
      <c r="B216" s="554" t="str">
        <f>IF(CCTSAS[[#This Row],[Matricule]]="","",MAX($B$7:B215)+1)</f>
        <v/>
      </c>
      <c r="C216" s="8"/>
      <c r="D216" s="8"/>
      <c r="E216" s="20"/>
      <c r="F216" s="63"/>
      <c r="G216" s="8"/>
      <c r="H216" s="8"/>
      <c r="I216" s="10"/>
      <c r="J216" s="10"/>
      <c r="K216" s="9"/>
      <c r="L216" s="9"/>
      <c r="M216" s="9"/>
      <c r="N21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6" s="660"/>
      <c r="P216" s="660"/>
      <c r="Q216" s="461"/>
      <c r="R216" s="381"/>
      <c r="S216" s="37"/>
      <c r="T216" s="37"/>
      <c r="U216" s="37"/>
      <c r="V216" s="37"/>
      <c r="W216" s="37"/>
      <c r="X216" s="37"/>
      <c r="Y21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6" s="37"/>
      <c r="AA216" s="662" t="str">
        <f>IF(COUNTA(CCTSAS[[#This Row],[Nom]:[heures annuelles
selon contrat(s)]])=0,"",CCTSAS[[#This Row],[Total global]]-ABS(CCTSAS[[#This Row],[Dont non opposable]]))</f>
        <v/>
      </c>
      <c r="AB216" s="8"/>
      <c r="AC216" s="63"/>
      <c r="AD216" s="428"/>
      <c r="AE216" s="428"/>
      <c r="AF216" s="428"/>
      <c r="AG216" s="43"/>
      <c r="AH216" s="183" t="str">
        <f>IF(COUNTA(CCTSAS[[#This Row],[Nom]:[heures annuelles
selon contrat(s)]])=0,"",REVEX!$E$9)</f>
        <v/>
      </c>
      <c r="AI216" s="72" t="str">
        <f>IF(CCTSAS[[#This Row],[Allocation fonctions]]="","",IF(ISNA(VLOOKUP(CCTSAS[[#This Row],[Allocation fonctions]],DROPDOWN[Dropdown82],1,FALSE))=TRUE,"Veuillez utiliser les allocations parmis la liste déroulante.",""))</f>
        <v/>
      </c>
    </row>
    <row r="217" spans="1:35" x14ac:dyDescent="0.25">
      <c r="A217" s="72" t="str">
        <f>IF(CCTSAS[[#This Row],[Carrière]]="","",IF(ISNA(VLOOKUP(CCTSAS[[#This Row],[Carrière]],DROPDOWN[Dropdown9],1,FALSE))=TRUE,"Carrière: Utiliser la liste déroulante",""))</f>
        <v/>
      </c>
      <c r="B217" s="554" t="str">
        <f>IF(CCTSAS[[#This Row],[Matricule]]="","",MAX($B$7:B216)+1)</f>
        <v/>
      </c>
      <c r="C217" s="8"/>
      <c r="D217" s="8"/>
      <c r="E217" s="20"/>
      <c r="F217" s="63"/>
      <c r="G217" s="8"/>
      <c r="H217" s="8"/>
      <c r="I217" s="10"/>
      <c r="J217" s="10"/>
      <c r="K217" s="9"/>
      <c r="L217" s="9"/>
      <c r="M217" s="9"/>
      <c r="N21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7" s="660"/>
      <c r="P217" s="660"/>
      <c r="Q217" s="461"/>
      <c r="R217" s="381"/>
      <c r="S217" s="37"/>
      <c r="T217" s="37"/>
      <c r="U217" s="37"/>
      <c r="V217" s="37"/>
      <c r="W217" s="37"/>
      <c r="X217" s="37"/>
      <c r="Y21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7" s="37"/>
      <c r="AA217" s="662" t="str">
        <f>IF(COUNTA(CCTSAS[[#This Row],[Nom]:[heures annuelles
selon contrat(s)]])=0,"",CCTSAS[[#This Row],[Total global]]-ABS(CCTSAS[[#This Row],[Dont non opposable]]))</f>
        <v/>
      </c>
      <c r="AB217" s="8"/>
      <c r="AC217" s="63"/>
      <c r="AD217" s="428"/>
      <c r="AE217" s="428"/>
      <c r="AF217" s="428"/>
      <c r="AG217" s="43"/>
      <c r="AH217" s="183" t="str">
        <f>IF(COUNTA(CCTSAS[[#This Row],[Nom]:[heures annuelles
selon contrat(s)]])=0,"",REVEX!$E$9)</f>
        <v/>
      </c>
      <c r="AI217" s="72" t="str">
        <f>IF(CCTSAS[[#This Row],[Allocation fonctions]]="","",IF(ISNA(VLOOKUP(CCTSAS[[#This Row],[Allocation fonctions]],DROPDOWN[Dropdown82],1,FALSE))=TRUE,"Veuillez utiliser les allocations parmis la liste déroulante.",""))</f>
        <v/>
      </c>
    </row>
    <row r="218" spans="1:35" x14ac:dyDescent="0.25">
      <c r="A218" s="72" t="str">
        <f>IF(CCTSAS[[#This Row],[Carrière]]="","",IF(ISNA(VLOOKUP(CCTSAS[[#This Row],[Carrière]],DROPDOWN[Dropdown9],1,FALSE))=TRUE,"Carrière: Utiliser la liste déroulante",""))</f>
        <v/>
      </c>
      <c r="B218" s="554" t="str">
        <f>IF(CCTSAS[[#This Row],[Matricule]]="","",MAX($B$7:B217)+1)</f>
        <v/>
      </c>
      <c r="C218" s="8"/>
      <c r="D218" s="8"/>
      <c r="E218" s="20"/>
      <c r="F218" s="63"/>
      <c r="G218" s="8"/>
      <c r="H218" s="8"/>
      <c r="I218" s="10"/>
      <c r="J218" s="10"/>
      <c r="K218" s="9"/>
      <c r="L218" s="9"/>
      <c r="M218" s="9"/>
      <c r="N21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8" s="660"/>
      <c r="P218" s="660"/>
      <c r="Q218" s="461"/>
      <c r="R218" s="381"/>
      <c r="S218" s="37"/>
      <c r="T218" s="37"/>
      <c r="U218" s="37"/>
      <c r="V218" s="37"/>
      <c r="W218" s="37"/>
      <c r="X218" s="37"/>
      <c r="Y21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8" s="37"/>
      <c r="AA218" s="662" t="str">
        <f>IF(COUNTA(CCTSAS[[#This Row],[Nom]:[heures annuelles
selon contrat(s)]])=0,"",CCTSAS[[#This Row],[Total global]]-ABS(CCTSAS[[#This Row],[Dont non opposable]]))</f>
        <v/>
      </c>
      <c r="AB218" s="8"/>
      <c r="AC218" s="63"/>
      <c r="AD218" s="428"/>
      <c r="AE218" s="428"/>
      <c r="AF218" s="428"/>
      <c r="AG218" s="43"/>
      <c r="AH218" s="183" t="str">
        <f>IF(COUNTA(CCTSAS[[#This Row],[Nom]:[heures annuelles
selon contrat(s)]])=0,"",REVEX!$E$9)</f>
        <v/>
      </c>
      <c r="AI218" s="72" t="str">
        <f>IF(CCTSAS[[#This Row],[Allocation fonctions]]="","",IF(ISNA(VLOOKUP(CCTSAS[[#This Row],[Allocation fonctions]],DROPDOWN[Dropdown82],1,FALSE))=TRUE,"Veuillez utiliser les allocations parmis la liste déroulante.",""))</f>
        <v/>
      </c>
    </row>
    <row r="219" spans="1:35" x14ac:dyDescent="0.25">
      <c r="A219" s="72" t="str">
        <f>IF(CCTSAS[[#This Row],[Carrière]]="","",IF(ISNA(VLOOKUP(CCTSAS[[#This Row],[Carrière]],DROPDOWN[Dropdown9],1,FALSE))=TRUE,"Carrière: Utiliser la liste déroulante",""))</f>
        <v/>
      </c>
      <c r="B219" s="554" t="str">
        <f>IF(CCTSAS[[#This Row],[Matricule]]="","",MAX($B$7:B218)+1)</f>
        <v/>
      </c>
      <c r="C219" s="8"/>
      <c r="D219" s="8"/>
      <c r="E219" s="20"/>
      <c r="F219" s="63"/>
      <c r="G219" s="8"/>
      <c r="H219" s="8"/>
      <c r="I219" s="10"/>
      <c r="J219" s="10"/>
      <c r="K219" s="9"/>
      <c r="L219" s="9"/>
      <c r="M219" s="9"/>
      <c r="N21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19" s="660"/>
      <c r="P219" s="660"/>
      <c r="Q219" s="461"/>
      <c r="R219" s="381"/>
      <c r="S219" s="37"/>
      <c r="T219" s="37"/>
      <c r="U219" s="37"/>
      <c r="V219" s="37"/>
      <c r="W219" s="37"/>
      <c r="X219" s="37"/>
      <c r="Y21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19" s="37"/>
      <c r="AA219" s="662" t="str">
        <f>IF(COUNTA(CCTSAS[[#This Row],[Nom]:[heures annuelles
selon contrat(s)]])=0,"",CCTSAS[[#This Row],[Total global]]-ABS(CCTSAS[[#This Row],[Dont non opposable]]))</f>
        <v/>
      </c>
      <c r="AB219" s="8"/>
      <c r="AC219" s="63"/>
      <c r="AD219" s="428"/>
      <c r="AE219" s="428"/>
      <c r="AF219" s="428"/>
      <c r="AG219" s="43"/>
      <c r="AH219" s="183" t="str">
        <f>IF(COUNTA(CCTSAS[[#This Row],[Nom]:[heures annuelles
selon contrat(s)]])=0,"",REVEX!$E$9)</f>
        <v/>
      </c>
      <c r="AI219" s="72" t="str">
        <f>IF(CCTSAS[[#This Row],[Allocation fonctions]]="","",IF(ISNA(VLOOKUP(CCTSAS[[#This Row],[Allocation fonctions]],DROPDOWN[Dropdown82],1,FALSE))=TRUE,"Veuillez utiliser les allocations parmis la liste déroulante.",""))</f>
        <v/>
      </c>
    </row>
    <row r="220" spans="1:35" x14ac:dyDescent="0.25">
      <c r="A220" s="72" t="str">
        <f>IF(CCTSAS[[#This Row],[Carrière]]="","",IF(ISNA(VLOOKUP(CCTSAS[[#This Row],[Carrière]],DROPDOWN[Dropdown9],1,FALSE))=TRUE,"Carrière: Utiliser la liste déroulante",""))</f>
        <v/>
      </c>
      <c r="B220" s="554" t="str">
        <f>IF(CCTSAS[[#This Row],[Matricule]]="","",MAX($B$7:B219)+1)</f>
        <v/>
      </c>
      <c r="C220" s="8"/>
      <c r="D220" s="8"/>
      <c r="E220" s="20"/>
      <c r="F220" s="63"/>
      <c r="G220" s="8"/>
      <c r="H220" s="8"/>
      <c r="I220" s="10"/>
      <c r="J220" s="10"/>
      <c r="K220" s="9"/>
      <c r="L220" s="9"/>
      <c r="M220" s="9"/>
      <c r="N22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0" s="660"/>
      <c r="P220" s="660"/>
      <c r="Q220" s="461"/>
      <c r="R220" s="381"/>
      <c r="S220" s="37"/>
      <c r="T220" s="37"/>
      <c r="U220" s="37"/>
      <c r="V220" s="37"/>
      <c r="W220" s="37"/>
      <c r="X220" s="37"/>
      <c r="Y22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0" s="37"/>
      <c r="AA220" s="662" t="str">
        <f>IF(COUNTA(CCTSAS[[#This Row],[Nom]:[heures annuelles
selon contrat(s)]])=0,"",CCTSAS[[#This Row],[Total global]]-ABS(CCTSAS[[#This Row],[Dont non opposable]]))</f>
        <v/>
      </c>
      <c r="AB220" s="8"/>
      <c r="AC220" s="63"/>
      <c r="AD220" s="428"/>
      <c r="AE220" s="428"/>
      <c r="AF220" s="428"/>
      <c r="AG220" s="43"/>
      <c r="AH220" s="183" t="str">
        <f>IF(COUNTA(CCTSAS[[#This Row],[Nom]:[heures annuelles
selon contrat(s)]])=0,"",REVEX!$E$9)</f>
        <v/>
      </c>
      <c r="AI220" s="72" t="str">
        <f>IF(CCTSAS[[#This Row],[Allocation fonctions]]="","",IF(ISNA(VLOOKUP(CCTSAS[[#This Row],[Allocation fonctions]],DROPDOWN[Dropdown82],1,FALSE))=TRUE,"Veuillez utiliser les allocations parmis la liste déroulante.",""))</f>
        <v/>
      </c>
    </row>
    <row r="221" spans="1:35" x14ac:dyDescent="0.25">
      <c r="A221" s="72" t="str">
        <f>IF(CCTSAS[[#This Row],[Carrière]]="","",IF(ISNA(VLOOKUP(CCTSAS[[#This Row],[Carrière]],DROPDOWN[Dropdown9],1,FALSE))=TRUE,"Carrière: Utiliser la liste déroulante",""))</f>
        <v/>
      </c>
      <c r="B221" s="554" t="str">
        <f>IF(CCTSAS[[#This Row],[Matricule]]="","",MAX($B$7:B220)+1)</f>
        <v/>
      </c>
      <c r="C221" s="8"/>
      <c r="D221" s="8"/>
      <c r="E221" s="20"/>
      <c r="F221" s="63"/>
      <c r="G221" s="8"/>
      <c r="H221" s="8"/>
      <c r="I221" s="10"/>
      <c r="J221" s="10"/>
      <c r="K221" s="9"/>
      <c r="L221" s="9"/>
      <c r="M221" s="9"/>
      <c r="N22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1" s="660"/>
      <c r="P221" s="660"/>
      <c r="Q221" s="461"/>
      <c r="R221" s="381"/>
      <c r="S221" s="37"/>
      <c r="T221" s="37"/>
      <c r="U221" s="37"/>
      <c r="V221" s="37"/>
      <c r="W221" s="37"/>
      <c r="X221" s="37"/>
      <c r="Y22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1" s="37"/>
      <c r="AA221" s="662" t="str">
        <f>IF(COUNTA(CCTSAS[[#This Row],[Nom]:[heures annuelles
selon contrat(s)]])=0,"",CCTSAS[[#This Row],[Total global]]-ABS(CCTSAS[[#This Row],[Dont non opposable]]))</f>
        <v/>
      </c>
      <c r="AB221" s="8"/>
      <c r="AC221" s="63"/>
      <c r="AD221" s="428"/>
      <c r="AE221" s="428"/>
      <c r="AF221" s="428"/>
      <c r="AG221" s="43"/>
      <c r="AH221" s="183" t="str">
        <f>IF(COUNTA(CCTSAS[[#This Row],[Nom]:[heures annuelles
selon contrat(s)]])=0,"",REVEX!$E$9)</f>
        <v/>
      </c>
      <c r="AI221" s="72" t="str">
        <f>IF(CCTSAS[[#This Row],[Allocation fonctions]]="","",IF(ISNA(VLOOKUP(CCTSAS[[#This Row],[Allocation fonctions]],DROPDOWN[Dropdown82],1,FALSE))=TRUE,"Veuillez utiliser les allocations parmis la liste déroulante.",""))</f>
        <v/>
      </c>
    </row>
    <row r="222" spans="1:35" x14ac:dyDescent="0.25">
      <c r="A222" s="72" t="str">
        <f>IF(CCTSAS[[#This Row],[Carrière]]="","",IF(ISNA(VLOOKUP(CCTSAS[[#This Row],[Carrière]],DROPDOWN[Dropdown9],1,FALSE))=TRUE,"Carrière: Utiliser la liste déroulante",""))</f>
        <v/>
      </c>
      <c r="B222" s="554" t="str">
        <f>IF(CCTSAS[[#This Row],[Matricule]]="","",MAX($B$7:B221)+1)</f>
        <v/>
      </c>
      <c r="C222" s="8"/>
      <c r="D222" s="8"/>
      <c r="E222" s="20"/>
      <c r="F222" s="63"/>
      <c r="G222" s="8"/>
      <c r="H222" s="8"/>
      <c r="I222" s="10"/>
      <c r="J222" s="10"/>
      <c r="K222" s="9"/>
      <c r="L222" s="9"/>
      <c r="M222" s="9"/>
      <c r="N22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2" s="660"/>
      <c r="P222" s="660"/>
      <c r="Q222" s="461"/>
      <c r="R222" s="381"/>
      <c r="S222" s="37"/>
      <c r="T222" s="37"/>
      <c r="U222" s="37"/>
      <c r="V222" s="37"/>
      <c r="W222" s="37"/>
      <c r="X222" s="37"/>
      <c r="Y22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2" s="37"/>
      <c r="AA222" s="662" t="str">
        <f>IF(COUNTA(CCTSAS[[#This Row],[Nom]:[heures annuelles
selon contrat(s)]])=0,"",CCTSAS[[#This Row],[Total global]]-ABS(CCTSAS[[#This Row],[Dont non opposable]]))</f>
        <v/>
      </c>
      <c r="AB222" s="8"/>
      <c r="AC222" s="63"/>
      <c r="AD222" s="428"/>
      <c r="AE222" s="428"/>
      <c r="AF222" s="428"/>
      <c r="AG222" s="43"/>
      <c r="AH222" s="183" t="str">
        <f>IF(COUNTA(CCTSAS[[#This Row],[Nom]:[heures annuelles
selon contrat(s)]])=0,"",REVEX!$E$9)</f>
        <v/>
      </c>
      <c r="AI222" s="72" t="str">
        <f>IF(CCTSAS[[#This Row],[Allocation fonctions]]="","",IF(ISNA(VLOOKUP(CCTSAS[[#This Row],[Allocation fonctions]],DROPDOWN[Dropdown82],1,FALSE))=TRUE,"Veuillez utiliser les allocations parmis la liste déroulante.",""))</f>
        <v/>
      </c>
    </row>
    <row r="223" spans="1:35" x14ac:dyDescent="0.25">
      <c r="A223" s="72" t="str">
        <f>IF(CCTSAS[[#This Row],[Carrière]]="","",IF(ISNA(VLOOKUP(CCTSAS[[#This Row],[Carrière]],DROPDOWN[Dropdown9],1,FALSE))=TRUE,"Carrière: Utiliser la liste déroulante",""))</f>
        <v/>
      </c>
      <c r="B223" s="554" t="str">
        <f>IF(CCTSAS[[#This Row],[Matricule]]="","",MAX($B$7:B222)+1)</f>
        <v/>
      </c>
      <c r="C223" s="8"/>
      <c r="D223" s="8"/>
      <c r="E223" s="20"/>
      <c r="F223" s="63"/>
      <c r="G223" s="8"/>
      <c r="H223" s="8"/>
      <c r="I223" s="10"/>
      <c r="J223" s="10"/>
      <c r="K223" s="9"/>
      <c r="L223" s="9"/>
      <c r="M223" s="9"/>
      <c r="N22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3" s="660"/>
      <c r="P223" s="660"/>
      <c r="Q223" s="461"/>
      <c r="R223" s="381"/>
      <c r="S223" s="37"/>
      <c r="T223" s="37"/>
      <c r="U223" s="37"/>
      <c r="V223" s="37"/>
      <c r="W223" s="37"/>
      <c r="X223" s="37"/>
      <c r="Y22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3" s="37"/>
      <c r="AA223" s="662" t="str">
        <f>IF(COUNTA(CCTSAS[[#This Row],[Nom]:[heures annuelles
selon contrat(s)]])=0,"",CCTSAS[[#This Row],[Total global]]-ABS(CCTSAS[[#This Row],[Dont non opposable]]))</f>
        <v/>
      </c>
      <c r="AB223" s="8"/>
      <c r="AC223" s="63"/>
      <c r="AD223" s="428"/>
      <c r="AE223" s="428"/>
      <c r="AF223" s="428"/>
      <c r="AG223" s="43"/>
      <c r="AH223" s="183" t="str">
        <f>IF(COUNTA(CCTSAS[[#This Row],[Nom]:[heures annuelles
selon contrat(s)]])=0,"",REVEX!$E$9)</f>
        <v/>
      </c>
      <c r="AI223" s="72" t="str">
        <f>IF(CCTSAS[[#This Row],[Allocation fonctions]]="","",IF(ISNA(VLOOKUP(CCTSAS[[#This Row],[Allocation fonctions]],DROPDOWN[Dropdown82],1,FALSE))=TRUE,"Veuillez utiliser les allocations parmis la liste déroulante.",""))</f>
        <v/>
      </c>
    </row>
    <row r="224" spans="1:35" x14ac:dyDescent="0.25">
      <c r="A224" s="72" t="str">
        <f>IF(CCTSAS[[#This Row],[Carrière]]="","",IF(ISNA(VLOOKUP(CCTSAS[[#This Row],[Carrière]],DROPDOWN[Dropdown9],1,FALSE))=TRUE,"Carrière: Utiliser la liste déroulante",""))</f>
        <v/>
      </c>
      <c r="B224" s="554" t="str">
        <f>IF(CCTSAS[[#This Row],[Matricule]]="","",MAX($B$7:B223)+1)</f>
        <v/>
      </c>
      <c r="C224" s="8"/>
      <c r="D224" s="8"/>
      <c r="E224" s="20"/>
      <c r="F224" s="63"/>
      <c r="G224" s="8"/>
      <c r="H224" s="8"/>
      <c r="I224" s="10"/>
      <c r="J224" s="10"/>
      <c r="K224" s="9"/>
      <c r="L224" s="9"/>
      <c r="M224" s="9"/>
      <c r="N22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4" s="660"/>
      <c r="P224" s="660"/>
      <c r="Q224" s="461"/>
      <c r="R224" s="381"/>
      <c r="S224" s="37"/>
      <c r="T224" s="37"/>
      <c r="U224" s="37"/>
      <c r="V224" s="37"/>
      <c r="W224" s="37"/>
      <c r="X224" s="37"/>
      <c r="Y22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4" s="37"/>
      <c r="AA224" s="662" t="str">
        <f>IF(COUNTA(CCTSAS[[#This Row],[Nom]:[heures annuelles
selon contrat(s)]])=0,"",CCTSAS[[#This Row],[Total global]]-ABS(CCTSAS[[#This Row],[Dont non opposable]]))</f>
        <v/>
      </c>
      <c r="AB224" s="8"/>
      <c r="AC224" s="63"/>
      <c r="AD224" s="428"/>
      <c r="AE224" s="428"/>
      <c r="AF224" s="428"/>
      <c r="AG224" s="43"/>
      <c r="AH224" s="183" t="str">
        <f>IF(COUNTA(CCTSAS[[#This Row],[Nom]:[heures annuelles
selon contrat(s)]])=0,"",REVEX!$E$9)</f>
        <v/>
      </c>
      <c r="AI224" s="72" t="str">
        <f>IF(CCTSAS[[#This Row],[Allocation fonctions]]="","",IF(ISNA(VLOOKUP(CCTSAS[[#This Row],[Allocation fonctions]],DROPDOWN[Dropdown82],1,FALSE))=TRUE,"Veuillez utiliser les allocations parmis la liste déroulante.",""))</f>
        <v/>
      </c>
    </row>
    <row r="225" spans="1:35" x14ac:dyDescent="0.25">
      <c r="A225" s="72" t="str">
        <f>IF(CCTSAS[[#This Row],[Carrière]]="","",IF(ISNA(VLOOKUP(CCTSAS[[#This Row],[Carrière]],DROPDOWN[Dropdown9],1,FALSE))=TRUE,"Carrière: Utiliser la liste déroulante",""))</f>
        <v/>
      </c>
      <c r="B225" s="554" t="str">
        <f>IF(CCTSAS[[#This Row],[Matricule]]="","",MAX($B$7:B224)+1)</f>
        <v/>
      </c>
      <c r="C225" s="8"/>
      <c r="D225" s="8"/>
      <c r="E225" s="20"/>
      <c r="F225" s="63"/>
      <c r="G225" s="8"/>
      <c r="H225" s="8"/>
      <c r="I225" s="10"/>
      <c r="J225" s="10"/>
      <c r="K225" s="9"/>
      <c r="L225" s="9"/>
      <c r="M225" s="9"/>
      <c r="N22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5" s="660"/>
      <c r="P225" s="660"/>
      <c r="Q225" s="461"/>
      <c r="R225" s="381"/>
      <c r="S225" s="37"/>
      <c r="T225" s="37"/>
      <c r="U225" s="37"/>
      <c r="V225" s="37"/>
      <c r="W225" s="37"/>
      <c r="X225" s="37"/>
      <c r="Y22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5" s="37"/>
      <c r="AA225" s="662" t="str">
        <f>IF(COUNTA(CCTSAS[[#This Row],[Nom]:[heures annuelles
selon contrat(s)]])=0,"",CCTSAS[[#This Row],[Total global]]-ABS(CCTSAS[[#This Row],[Dont non opposable]]))</f>
        <v/>
      </c>
      <c r="AB225" s="8"/>
      <c r="AC225" s="63"/>
      <c r="AD225" s="428"/>
      <c r="AE225" s="428"/>
      <c r="AF225" s="428"/>
      <c r="AG225" s="43"/>
      <c r="AH225" s="183" t="str">
        <f>IF(COUNTA(CCTSAS[[#This Row],[Nom]:[heures annuelles
selon contrat(s)]])=0,"",REVEX!$E$9)</f>
        <v/>
      </c>
      <c r="AI225" s="72" t="str">
        <f>IF(CCTSAS[[#This Row],[Allocation fonctions]]="","",IF(ISNA(VLOOKUP(CCTSAS[[#This Row],[Allocation fonctions]],DROPDOWN[Dropdown82],1,FALSE))=TRUE,"Veuillez utiliser les allocations parmis la liste déroulante.",""))</f>
        <v/>
      </c>
    </row>
    <row r="226" spans="1:35" x14ac:dyDescent="0.25">
      <c r="A226" s="72" t="str">
        <f>IF(CCTSAS[[#This Row],[Carrière]]="","",IF(ISNA(VLOOKUP(CCTSAS[[#This Row],[Carrière]],DROPDOWN[Dropdown9],1,FALSE))=TRUE,"Carrière: Utiliser la liste déroulante",""))</f>
        <v/>
      </c>
      <c r="B226" s="554" t="str">
        <f>IF(CCTSAS[[#This Row],[Matricule]]="","",MAX($B$7:B225)+1)</f>
        <v/>
      </c>
      <c r="C226" s="8"/>
      <c r="D226" s="8"/>
      <c r="E226" s="20"/>
      <c r="F226" s="63"/>
      <c r="G226" s="8"/>
      <c r="H226" s="8"/>
      <c r="I226" s="10"/>
      <c r="J226" s="10"/>
      <c r="K226" s="9"/>
      <c r="L226" s="9"/>
      <c r="M226" s="9"/>
      <c r="N22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6" s="660"/>
      <c r="P226" s="660"/>
      <c r="Q226" s="461"/>
      <c r="R226" s="381"/>
      <c r="S226" s="37"/>
      <c r="T226" s="37"/>
      <c r="U226" s="37"/>
      <c r="V226" s="37"/>
      <c r="W226" s="37"/>
      <c r="X226" s="37"/>
      <c r="Y22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6" s="37"/>
      <c r="AA226" s="662" t="str">
        <f>IF(COUNTA(CCTSAS[[#This Row],[Nom]:[heures annuelles
selon contrat(s)]])=0,"",CCTSAS[[#This Row],[Total global]]-ABS(CCTSAS[[#This Row],[Dont non opposable]]))</f>
        <v/>
      </c>
      <c r="AB226" s="8"/>
      <c r="AC226" s="63"/>
      <c r="AD226" s="428"/>
      <c r="AE226" s="428"/>
      <c r="AF226" s="428"/>
      <c r="AG226" s="43"/>
      <c r="AH226" s="183" t="str">
        <f>IF(COUNTA(CCTSAS[[#This Row],[Nom]:[heures annuelles
selon contrat(s)]])=0,"",REVEX!$E$9)</f>
        <v/>
      </c>
      <c r="AI226" s="72" t="str">
        <f>IF(CCTSAS[[#This Row],[Allocation fonctions]]="","",IF(ISNA(VLOOKUP(CCTSAS[[#This Row],[Allocation fonctions]],DROPDOWN[Dropdown82],1,FALSE))=TRUE,"Veuillez utiliser les allocations parmis la liste déroulante.",""))</f>
        <v/>
      </c>
    </row>
    <row r="227" spans="1:35" x14ac:dyDescent="0.25">
      <c r="A227" s="72" t="str">
        <f>IF(CCTSAS[[#This Row],[Carrière]]="","",IF(ISNA(VLOOKUP(CCTSAS[[#This Row],[Carrière]],DROPDOWN[Dropdown9],1,FALSE))=TRUE,"Carrière: Utiliser la liste déroulante",""))</f>
        <v/>
      </c>
      <c r="B227" s="554" t="str">
        <f>IF(CCTSAS[[#This Row],[Matricule]]="","",MAX($B$7:B226)+1)</f>
        <v/>
      </c>
      <c r="C227" s="8"/>
      <c r="D227" s="8"/>
      <c r="E227" s="20"/>
      <c r="F227" s="63"/>
      <c r="G227" s="8"/>
      <c r="H227" s="8"/>
      <c r="I227" s="10"/>
      <c r="J227" s="10"/>
      <c r="K227" s="9"/>
      <c r="L227" s="9"/>
      <c r="M227" s="9"/>
      <c r="N22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7" s="660"/>
      <c r="P227" s="660"/>
      <c r="Q227" s="461"/>
      <c r="R227" s="381"/>
      <c r="S227" s="37"/>
      <c r="T227" s="37"/>
      <c r="U227" s="37"/>
      <c r="V227" s="37"/>
      <c r="W227" s="37"/>
      <c r="X227" s="37"/>
      <c r="Y22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7" s="37"/>
      <c r="AA227" s="662" t="str">
        <f>IF(COUNTA(CCTSAS[[#This Row],[Nom]:[heures annuelles
selon contrat(s)]])=0,"",CCTSAS[[#This Row],[Total global]]-ABS(CCTSAS[[#This Row],[Dont non opposable]]))</f>
        <v/>
      </c>
      <c r="AB227" s="8"/>
      <c r="AC227" s="63"/>
      <c r="AD227" s="428"/>
      <c r="AE227" s="428"/>
      <c r="AF227" s="428"/>
      <c r="AG227" s="43"/>
      <c r="AH227" s="183" t="str">
        <f>IF(COUNTA(CCTSAS[[#This Row],[Nom]:[heures annuelles
selon contrat(s)]])=0,"",REVEX!$E$9)</f>
        <v/>
      </c>
      <c r="AI227" s="72" t="str">
        <f>IF(CCTSAS[[#This Row],[Allocation fonctions]]="","",IF(ISNA(VLOOKUP(CCTSAS[[#This Row],[Allocation fonctions]],DROPDOWN[Dropdown82],1,FALSE))=TRUE,"Veuillez utiliser les allocations parmis la liste déroulante.",""))</f>
        <v/>
      </c>
    </row>
    <row r="228" spans="1:35" x14ac:dyDescent="0.25">
      <c r="A228" s="72" t="str">
        <f>IF(CCTSAS[[#This Row],[Carrière]]="","",IF(ISNA(VLOOKUP(CCTSAS[[#This Row],[Carrière]],DROPDOWN[Dropdown9],1,FALSE))=TRUE,"Carrière: Utiliser la liste déroulante",""))</f>
        <v/>
      </c>
      <c r="B228" s="554" t="str">
        <f>IF(CCTSAS[[#This Row],[Matricule]]="","",MAX($B$7:B227)+1)</f>
        <v/>
      </c>
      <c r="C228" s="8"/>
      <c r="D228" s="8"/>
      <c r="E228" s="20"/>
      <c r="F228" s="63"/>
      <c r="G228" s="8"/>
      <c r="H228" s="8"/>
      <c r="I228" s="10"/>
      <c r="J228" s="10"/>
      <c r="K228" s="9"/>
      <c r="L228" s="9"/>
      <c r="M228" s="9"/>
      <c r="N22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8" s="660"/>
      <c r="P228" s="660"/>
      <c r="Q228" s="461"/>
      <c r="R228" s="381"/>
      <c r="S228" s="37"/>
      <c r="T228" s="37"/>
      <c r="U228" s="37"/>
      <c r="V228" s="37"/>
      <c r="W228" s="37"/>
      <c r="X228" s="37"/>
      <c r="Y22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8" s="37"/>
      <c r="AA228" s="662" t="str">
        <f>IF(COUNTA(CCTSAS[[#This Row],[Nom]:[heures annuelles
selon contrat(s)]])=0,"",CCTSAS[[#This Row],[Total global]]-ABS(CCTSAS[[#This Row],[Dont non opposable]]))</f>
        <v/>
      </c>
      <c r="AB228" s="8"/>
      <c r="AC228" s="63"/>
      <c r="AD228" s="428"/>
      <c r="AE228" s="428"/>
      <c r="AF228" s="428"/>
      <c r="AG228" s="43"/>
      <c r="AH228" s="183" t="str">
        <f>IF(COUNTA(CCTSAS[[#This Row],[Nom]:[heures annuelles
selon contrat(s)]])=0,"",REVEX!$E$9)</f>
        <v/>
      </c>
      <c r="AI228" s="72" t="str">
        <f>IF(CCTSAS[[#This Row],[Allocation fonctions]]="","",IF(ISNA(VLOOKUP(CCTSAS[[#This Row],[Allocation fonctions]],DROPDOWN[Dropdown82],1,FALSE))=TRUE,"Veuillez utiliser les allocations parmis la liste déroulante.",""))</f>
        <v/>
      </c>
    </row>
    <row r="229" spans="1:35" x14ac:dyDescent="0.25">
      <c r="A229" s="72" t="str">
        <f>IF(CCTSAS[[#This Row],[Carrière]]="","",IF(ISNA(VLOOKUP(CCTSAS[[#This Row],[Carrière]],DROPDOWN[Dropdown9],1,FALSE))=TRUE,"Carrière: Utiliser la liste déroulante",""))</f>
        <v/>
      </c>
      <c r="B229" s="554" t="str">
        <f>IF(CCTSAS[[#This Row],[Matricule]]="","",MAX($B$7:B228)+1)</f>
        <v/>
      </c>
      <c r="C229" s="8"/>
      <c r="D229" s="8"/>
      <c r="E229" s="20"/>
      <c r="F229" s="63"/>
      <c r="G229" s="8"/>
      <c r="H229" s="8"/>
      <c r="I229" s="10"/>
      <c r="J229" s="10"/>
      <c r="K229" s="9"/>
      <c r="L229" s="9"/>
      <c r="M229" s="9"/>
      <c r="N22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29" s="660"/>
      <c r="P229" s="660"/>
      <c r="Q229" s="461"/>
      <c r="R229" s="381"/>
      <c r="S229" s="37"/>
      <c r="T229" s="37"/>
      <c r="U229" s="37"/>
      <c r="V229" s="37"/>
      <c r="W229" s="37"/>
      <c r="X229" s="37"/>
      <c r="Y22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29" s="37"/>
      <c r="AA229" s="662" t="str">
        <f>IF(COUNTA(CCTSAS[[#This Row],[Nom]:[heures annuelles
selon contrat(s)]])=0,"",CCTSAS[[#This Row],[Total global]]-ABS(CCTSAS[[#This Row],[Dont non opposable]]))</f>
        <v/>
      </c>
      <c r="AB229" s="8"/>
      <c r="AC229" s="63"/>
      <c r="AD229" s="428"/>
      <c r="AE229" s="428"/>
      <c r="AF229" s="428"/>
      <c r="AG229" s="43"/>
      <c r="AH229" s="183" t="str">
        <f>IF(COUNTA(CCTSAS[[#This Row],[Nom]:[heures annuelles
selon contrat(s)]])=0,"",REVEX!$E$9)</f>
        <v/>
      </c>
      <c r="AI229" s="72" t="str">
        <f>IF(CCTSAS[[#This Row],[Allocation fonctions]]="","",IF(ISNA(VLOOKUP(CCTSAS[[#This Row],[Allocation fonctions]],DROPDOWN[Dropdown82],1,FALSE))=TRUE,"Veuillez utiliser les allocations parmis la liste déroulante.",""))</f>
        <v/>
      </c>
    </row>
    <row r="230" spans="1:35" x14ac:dyDescent="0.25">
      <c r="A230" s="72" t="str">
        <f>IF(CCTSAS[[#This Row],[Carrière]]="","",IF(ISNA(VLOOKUP(CCTSAS[[#This Row],[Carrière]],DROPDOWN[Dropdown9],1,FALSE))=TRUE,"Carrière: Utiliser la liste déroulante",""))</f>
        <v/>
      </c>
      <c r="B230" s="554" t="str">
        <f>IF(CCTSAS[[#This Row],[Matricule]]="","",MAX($B$7:B229)+1)</f>
        <v/>
      </c>
      <c r="C230" s="8"/>
      <c r="D230" s="8"/>
      <c r="E230" s="20"/>
      <c r="F230" s="63"/>
      <c r="G230" s="8"/>
      <c r="H230" s="8"/>
      <c r="I230" s="10"/>
      <c r="J230" s="10"/>
      <c r="K230" s="9"/>
      <c r="L230" s="9"/>
      <c r="M230" s="9"/>
      <c r="N23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0" s="660"/>
      <c r="P230" s="660"/>
      <c r="Q230" s="461"/>
      <c r="R230" s="381"/>
      <c r="S230" s="37"/>
      <c r="T230" s="37"/>
      <c r="U230" s="37"/>
      <c r="V230" s="37"/>
      <c r="W230" s="37"/>
      <c r="X230" s="37"/>
      <c r="Y23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0" s="37"/>
      <c r="AA230" s="662" t="str">
        <f>IF(COUNTA(CCTSAS[[#This Row],[Nom]:[heures annuelles
selon contrat(s)]])=0,"",CCTSAS[[#This Row],[Total global]]-ABS(CCTSAS[[#This Row],[Dont non opposable]]))</f>
        <v/>
      </c>
      <c r="AB230" s="8"/>
      <c r="AC230" s="63"/>
      <c r="AD230" s="428"/>
      <c r="AE230" s="428"/>
      <c r="AF230" s="428"/>
      <c r="AG230" s="43"/>
      <c r="AH230" s="183" t="str">
        <f>IF(COUNTA(CCTSAS[[#This Row],[Nom]:[heures annuelles
selon contrat(s)]])=0,"",REVEX!$E$9)</f>
        <v/>
      </c>
      <c r="AI230" s="72" t="str">
        <f>IF(CCTSAS[[#This Row],[Allocation fonctions]]="","",IF(ISNA(VLOOKUP(CCTSAS[[#This Row],[Allocation fonctions]],DROPDOWN[Dropdown82],1,FALSE))=TRUE,"Veuillez utiliser les allocations parmis la liste déroulante.",""))</f>
        <v/>
      </c>
    </row>
    <row r="231" spans="1:35" x14ac:dyDescent="0.25">
      <c r="A231" s="72" t="str">
        <f>IF(CCTSAS[[#This Row],[Carrière]]="","",IF(ISNA(VLOOKUP(CCTSAS[[#This Row],[Carrière]],DROPDOWN[Dropdown9],1,FALSE))=TRUE,"Carrière: Utiliser la liste déroulante",""))</f>
        <v/>
      </c>
      <c r="B231" s="554" t="str">
        <f>IF(CCTSAS[[#This Row],[Matricule]]="","",MAX($B$7:B230)+1)</f>
        <v/>
      </c>
      <c r="C231" s="8"/>
      <c r="D231" s="8"/>
      <c r="E231" s="20"/>
      <c r="F231" s="63"/>
      <c r="G231" s="8"/>
      <c r="H231" s="8"/>
      <c r="I231" s="10"/>
      <c r="J231" s="10"/>
      <c r="K231" s="9"/>
      <c r="L231" s="9"/>
      <c r="M231" s="9"/>
      <c r="N23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1" s="660"/>
      <c r="P231" s="660"/>
      <c r="Q231" s="461"/>
      <c r="R231" s="381"/>
      <c r="S231" s="37"/>
      <c r="T231" s="37"/>
      <c r="U231" s="37"/>
      <c r="V231" s="37"/>
      <c r="W231" s="37"/>
      <c r="X231" s="37"/>
      <c r="Y23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1" s="37"/>
      <c r="AA231" s="662" t="str">
        <f>IF(COUNTA(CCTSAS[[#This Row],[Nom]:[heures annuelles
selon contrat(s)]])=0,"",CCTSAS[[#This Row],[Total global]]-ABS(CCTSAS[[#This Row],[Dont non opposable]]))</f>
        <v/>
      </c>
      <c r="AB231" s="8"/>
      <c r="AC231" s="63"/>
      <c r="AD231" s="428"/>
      <c r="AE231" s="428"/>
      <c r="AF231" s="428"/>
      <c r="AG231" s="43"/>
      <c r="AH231" s="183" t="str">
        <f>IF(COUNTA(CCTSAS[[#This Row],[Nom]:[heures annuelles
selon contrat(s)]])=0,"",REVEX!$E$9)</f>
        <v/>
      </c>
      <c r="AI231" s="72" t="str">
        <f>IF(CCTSAS[[#This Row],[Allocation fonctions]]="","",IF(ISNA(VLOOKUP(CCTSAS[[#This Row],[Allocation fonctions]],DROPDOWN[Dropdown82],1,FALSE))=TRUE,"Veuillez utiliser les allocations parmis la liste déroulante.",""))</f>
        <v/>
      </c>
    </row>
    <row r="232" spans="1:35" x14ac:dyDescent="0.25">
      <c r="A232" s="72" t="str">
        <f>IF(CCTSAS[[#This Row],[Carrière]]="","",IF(ISNA(VLOOKUP(CCTSAS[[#This Row],[Carrière]],DROPDOWN[Dropdown9],1,FALSE))=TRUE,"Carrière: Utiliser la liste déroulante",""))</f>
        <v/>
      </c>
      <c r="B232" s="554" t="str">
        <f>IF(CCTSAS[[#This Row],[Matricule]]="","",MAX($B$7:B231)+1)</f>
        <v/>
      </c>
      <c r="C232" s="8"/>
      <c r="D232" s="8"/>
      <c r="E232" s="20"/>
      <c r="F232" s="63"/>
      <c r="G232" s="8"/>
      <c r="H232" s="8"/>
      <c r="I232" s="10"/>
      <c r="J232" s="10"/>
      <c r="K232" s="9"/>
      <c r="L232" s="9"/>
      <c r="M232" s="9"/>
      <c r="N23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2" s="660"/>
      <c r="P232" s="660"/>
      <c r="Q232" s="461"/>
      <c r="R232" s="381"/>
      <c r="S232" s="37"/>
      <c r="T232" s="37"/>
      <c r="U232" s="37"/>
      <c r="V232" s="37"/>
      <c r="W232" s="37"/>
      <c r="X232" s="37"/>
      <c r="Y23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2" s="37"/>
      <c r="AA232" s="662" t="str">
        <f>IF(COUNTA(CCTSAS[[#This Row],[Nom]:[heures annuelles
selon contrat(s)]])=0,"",CCTSAS[[#This Row],[Total global]]-ABS(CCTSAS[[#This Row],[Dont non opposable]]))</f>
        <v/>
      </c>
      <c r="AB232" s="8"/>
      <c r="AC232" s="63"/>
      <c r="AD232" s="428"/>
      <c r="AE232" s="428"/>
      <c r="AF232" s="428"/>
      <c r="AG232" s="43"/>
      <c r="AH232" s="183" t="str">
        <f>IF(COUNTA(CCTSAS[[#This Row],[Nom]:[heures annuelles
selon contrat(s)]])=0,"",REVEX!$E$9)</f>
        <v/>
      </c>
      <c r="AI232" s="72" t="str">
        <f>IF(CCTSAS[[#This Row],[Allocation fonctions]]="","",IF(ISNA(VLOOKUP(CCTSAS[[#This Row],[Allocation fonctions]],DROPDOWN[Dropdown82],1,FALSE))=TRUE,"Veuillez utiliser les allocations parmis la liste déroulante.",""))</f>
        <v/>
      </c>
    </row>
    <row r="233" spans="1:35" x14ac:dyDescent="0.25">
      <c r="A233" s="72" t="str">
        <f>IF(CCTSAS[[#This Row],[Carrière]]="","",IF(ISNA(VLOOKUP(CCTSAS[[#This Row],[Carrière]],DROPDOWN[Dropdown9],1,FALSE))=TRUE,"Carrière: Utiliser la liste déroulante",""))</f>
        <v/>
      </c>
      <c r="B233" s="554" t="str">
        <f>IF(CCTSAS[[#This Row],[Matricule]]="","",MAX($B$7:B232)+1)</f>
        <v/>
      </c>
      <c r="C233" s="8"/>
      <c r="D233" s="8"/>
      <c r="E233" s="20"/>
      <c r="F233" s="63"/>
      <c r="G233" s="8"/>
      <c r="H233" s="8"/>
      <c r="I233" s="10"/>
      <c r="J233" s="10"/>
      <c r="K233" s="9"/>
      <c r="L233" s="9"/>
      <c r="M233" s="9"/>
      <c r="N23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3" s="660"/>
      <c r="P233" s="660"/>
      <c r="Q233" s="461"/>
      <c r="R233" s="381"/>
      <c r="S233" s="37"/>
      <c r="T233" s="37"/>
      <c r="U233" s="37"/>
      <c r="V233" s="37"/>
      <c r="W233" s="37"/>
      <c r="X233" s="37"/>
      <c r="Y23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3" s="37"/>
      <c r="AA233" s="662" t="str">
        <f>IF(COUNTA(CCTSAS[[#This Row],[Nom]:[heures annuelles
selon contrat(s)]])=0,"",CCTSAS[[#This Row],[Total global]]-ABS(CCTSAS[[#This Row],[Dont non opposable]]))</f>
        <v/>
      </c>
      <c r="AB233" s="8"/>
      <c r="AC233" s="63"/>
      <c r="AD233" s="428"/>
      <c r="AE233" s="428"/>
      <c r="AF233" s="428"/>
      <c r="AG233" s="43"/>
      <c r="AH233" s="183" t="str">
        <f>IF(COUNTA(CCTSAS[[#This Row],[Nom]:[heures annuelles
selon contrat(s)]])=0,"",REVEX!$E$9)</f>
        <v/>
      </c>
      <c r="AI233" s="72" t="str">
        <f>IF(CCTSAS[[#This Row],[Allocation fonctions]]="","",IF(ISNA(VLOOKUP(CCTSAS[[#This Row],[Allocation fonctions]],DROPDOWN[Dropdown82],1,FALSE))=TRUE,"Veuillez utiliser les allocations parmis la liste déroulante.",""))</f>
        <v/>
      </c>
    </row>
    <row r="234" spans="1:35" x14ac:dyDescent="0.25">
      <c r="A234" s="72" t="str">
        <f>IF(CCTSAS[[#This Row],[Carrière]]="","",IF(ISNA(VLOOKUP(CCTSAS[[#This Row],[Carrière]],DROPDOWN[Dropdown9],1,FALSE))=TRUE,"Carrière: Utiliser la liste déroulante",""))</f>
        <v/>
      </c>
      <c r="B234" s="554" t="str">
        <f>IF(CCTSAS[[#This Row],[Matricule]]="","",MAX($B$7:B233)+1)</f>
        <v/>
      </c>
      <c r="C234" s="8"/>
      <c r="D234" s="8"/>
      <c r="E234" s="20"/>
      <c r="F234" s="63"/>
      <c r="G234" s="8"/>
      <c r="H234" s="8"/>
      <c r="I234" s="10"/>
      <c r="J234" s="10"/>
      <c r="K234" s="9"/>
      <c r="L234" s="9"/>
      <c r="M234" s="9"/>
      <c r="N23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4" s="660"/>
      <c r="P234" s="660"/>
      <c r="Q234" s="461"/>
      <c r="R234" s="381"/>
      <c r="S234" s="37"/>
      <c r="T234" s="37"/>
      <c r="U234" s="37"/>
      <c r="V234" s="37"/>
      <c r="W234" s="37"/>
      <c r="X234" s="37"/>
      <c r="Y23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4" s="37"/>
      <c r="AA234" s="662" t="str">
        <f>IF(COUNTA(CCTSAS[[#This Row],[Nom]:[heures annuelles
selon contrat(s)]])=0,"",CCTSAS[[#This Row],[Total global]]-ABS(CCTSAS[[#This Row],[Dont non opposable]]))</f>
        <v/>
      </c>
      <c r="AB234" s="8"/>
      <c r="AC234" s="63"/>
      <c r="AD234" s="428"/>
      <c r="AE234" s="428"/>
      <c r="AF234" s="428"/>
      <c r="AG234" s="43"/>
      <c r="AH234" s="183" t="str">
        <f>IF(COUNTA(CCTSAS[[#This Row],[Nom]:[heures annuelles
selon contrat(s)]])=0,"",REVEX!$E$9)</f>
        <v/>
      </c>
      <c r="AI234" s="72" t="str">
        <f>IF(CCTSAS[[#This Row],[Allocation fonctions]]="","",IF(ISNA(VLOOKUP(CCTSAS[[#This Row],[Allocation fonctions]],DROPDOWN[Dropdown82],1,FALSE))=TRUE,"Veuillez utiliser les allocations parmis la liste déroulante.",""))</f>
        <v/>
      </c>
    </row>
    <row r="235" spans="1:35" x14ac:dyDescent="0.25">
      <c r="A235" s="72" t="str">
        <f>IF(CCTSAS[[#This Row],[Carrière]]="","",IF(ISNA(VLOOKUP(CCTSAS[[#This Row],[Carrière]],DROPDOWN[Dropdown9],1,FALSE))=TRUE,"Carrière: Utiliser la liste déroulante",""))</f>
        <v/>
      </c>
      <c r="B235" s="554" t="str">
        <f>IF(CCTSAS[[#This Row],[Matricule]]="","",MAX($B$7:B234)+1)</f>
        <v/>
      </c>
      <c r="C235" s="8"/>
      <c r="D235" s="8"/>
      <c r="E235" s="20"/>
      <c r="F235" s="63"/>
      <c r="G235" s="8"/>
      <c r="H235" s="8"/>
      <c r="I235" s="10"/>
      <c r="J235" s="10"/>
      <c r="K235" s="9"/>
      <c r="L235" s="9"/>
      <c r="M235" s="9"/>
      <c r="N23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5" s="660"/>
      <c r="P235" s="660"/>
      <c r="Q235" s="461"/>
      <c r="R235" s="381"/>
      <c r="S235" s="37"/>
      <c r="T235" s="37"/>
      <c r="U235" s="37"/>
      <c r="V235" s="37"/>
      <c r="W235" s="37"/>
      <c r="X235" s="37"/>
      <c r="Y23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5" s="37"/>
      <c r="AA235" s="662" t="str">
        <f>IF(COUNTA(CCTSAS[[#This Row],[Nom]:[heures annuelles
selon contrat(s)]])=0,"",CCTSAS[[#This Row],[Total global]]-ABS(CCTSAS[[#This Row],[Dont non opposable]]))</f>
        <v/>
      </c>
      <c r="AB235" s="8"/>
      <c r="AC235" s="63"/>
      <c r="AD235" s="428"/>
      <c r="AE235" s="428"/>
      <c r="AF235" s="428"/>
      <c r="AG235" s="43"/>
      <c r="AH235" s="183" t="str">
        <f>IF(COUNTA(CCTSAS[[#This Row],[Nom]:[heures annuelles
selon contrat(s)]])=0,"",REVEX!$E$9)</f>
        <v/>
      </c>
      <c r="AI235" s="72" t="str">
        <f>IF(CCTSAS[[#This Row],[Allocation fonctions]]="","",IF(ISNA(VLOOKUP(CCTSAS[[#This Row],[Allocation fonctions]],DROPDOWN[Dropdown82],1,FALSE))=TRUE,"Veuillez utiliser les allocations parmis la liste déroulante.",""))</f>
        <v/>
      </c>
    </row>
    <row r="236" spans="1:35" x14ac:dyDescent="0.25">
      <c r="A236" s="72" t="str">
        <f>IF(CCTSAS[[#This Row],[Carrière]]="","",IF(ISNA(VLOOKUP(CCTSAS[[#This Row],[Carrière]],DROPDOWN[Dropdown9],1,FALSE))=TRUE,"Carrière: Utiliser la liste déroulante",""))</f>
        <v/>
      </c>
      <c r="B236" s="554" t="str">
        <f>IF(CCTSAS[[#This Row],[Matricule]]="","",MAX($B$7:B235)+1)</f>
        <v/>
      </c>
      <c r="C236" s="8"/>
      <c r="D236" s="8"/>
      <c r="E236" s="20"/>
      <c r="F236" s="63"/>
      <c r="G236" s="8"/>
      <c r="H236" s="8"/>
      <c r="I236" s="10"/>
      <c r="J236" s="10"/>
      <c r="K236" s="9"/>
      <c r="L236" s="9"/>
      <c r="M236" s="9"/>
      <c r="N23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6" s="660"/>
      <c r="P236" s="660"/>
      <c r="Q236" s="461"/>
      <c r="R236" s="381"/>
      <c r="S236" s="37"/>
      <c r="T236" s="37"/>
      <c r="U236" s="37"/>
      <c r="V236" s="37"/>
      <c r="W236" s="37"/>
      <c r="X236" s="37"/>
      <c r="Y23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6" s="37"/>
      <c r="AA236" s="662" t="str">
        <f>IF(COUNTA(CCTSAS[[#This Row],[Nom]:[heures annuelles
selon contrat(s)]])=0,"",CCTSAS[[#This Row],[Total global]]-ABS(CCTSAS[[#This Row],[Dont non opposable]]))</f>
        <v/>
      </c>
      <c r="AB236" s="8"/>
      <c r="AC236" s="63"/>
      <c r="AD236" s="428"/>
      <c r="AE236" s="428"/>
      <c r="AF236" s="428"/>
      <c r="AG236" s="43"/>
      <c r="AH236" s="183" t="str">
        <f>IF(COUNTA(CCTSAS[[#This Row],[Nom]:[heures annuelles
selon contrat(s)]])=0,"",REVEX!$E$9)</f>
        <v/>
      </c>
      <c r="AI236" s="72" t="str">
        <f>IF(CCTSAS[[#This Row],[Allocation fonctions]]="","",IF(ISNA(VLOOKUP(CCTSAS[[#This Row],[Allocation fonctions]],DROPDOWN[Dropdown82],1,FALSE))=TRUE,"Veuillez utiliser les allocations parmis la liste déroulante.",""))</f>
        <v/>
      </c>
    </row>
    <row r="237" spans="1:35" x14ac:dyDescent="0.25">
      <c r="A237" s="72" t="str">
        <f>IF(CCTSAS[[#This Row],[Carrière]]="","",IF(ISNA(VLOOKUP(CCTSAS[[#This Row],[Carrière]],DROPDOWN[Dropdown9],1,FALSE))=TRUE,"Carrière: Utiliser la liste déroulante",""))</f>
        <v/>
      </c>
      <c r="B237" s="554" t="str">
        <f>IF(CCTSAS[[#This Row],[Matricule]]="","",MAX($B$7:B236)+1)</f>
        <v/>
      </c>
      <c r="C237" s="8"/>
      <c r="D237" s="8"/>
      <c r="E237" s="20"/>
      <c r="F237" s="63"/>
      <c r="G237" s="8"/>
      <c r="H237" s="8"/>
      <c r="I237" s="10"/>
      <c r="J237" s="10"/>
      <c r="K237" s="9"/>
      <c r="L237" s="9"/>
      <c r="M237" s="9"/>
      <c r="N23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7" s="660"/>
      <c r="P237" s="660"/>
      <c r="Q237" s="461"/>
      <c r="R237" s="381"/>
      <c r="S237" s="37"/>
      <c r="T237" s="37"/>
      <c r="U237" s="37"/>
      <c r="V237" s="37"/>
      <c r="W237" s="37"/>
      <c r="X237" s="37"/>
      <c r="Y23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7" s="37"/>
      <c r="AA237" s="662" t="str">
        <f>IF(COUNTA(CCTSAS[[#This Row],[Nom]:[heures annuelles
selon contrat(s)]])=0,"",CCTSAS[[#This Row],[Total global]]-ABS(CCTSAS[[#This Row],[Dont non opposable]]))</f>
        <v/>
      </c>
      <c r="AB237" s="8"/>
      <c r="AC237" s="63"/>
      <c r="AD237" s="428"/>
      <c r="AE237" s="428"/>
      <c r="AF237" s="428"/>
      <c r="AG237" s="43"/>
      <c r="AH237" s="183" t="str">
        <f>IF(COUNTA(CCTSAS[[#This Row],[Nom]:[heures annuelles
selon contrat(s)]])=0,"",REVEX!$E$9)</f>
        <v/>
      </c>
      <c r="AI237" s="72" t="str">
        <f>IF(CCTSAS[[#This Row],[Allocation fonctions]]="","",IF(ISNA(VLOOKUP(CCTSAS[[#This Row],[Allocation fonctions]],DROPDOWN[Dropdown82],1,FALSE))=TRUE,"Veuillez utiliser les allocations parmis la liste déroulante.",""))</f>
        <v/>
      </c>
    </row>
    <row r="238" spans="1:35" x14ac:dyDescent="0.25">
      <c r="A238" s="72" t="str">
        <f>IF(CCTSAS[[#This Row],[Carrière]]="","",IF(ISNA(VLOOKUP(CCTSAS[[#This Row],[Carrière]],DROPDOWN[Dropdown9],1,FALSE))=TRUE,"Carrière: Utiliser la liste déroulante",""))</f>
        <v/>
      </c>
      <c r="B238" s="554" t="str">
        <f>IF(CCTSAS[[#This Row],[Matricule]]="","",MAX($B$7:B237)+1)</f>
        <v/>
      </c>
      <c r="C238" s="8"/>
      <c r="D238" s="8"/>
      <c r="E238" s="20"/>
      <c r="F238" s="63"/>
      <c r="G238" s="8"/>
      <c r="H238" s="8"/>
      <c r="I238" s="10"/>
      <c r="J238" s="10"/>
      <c r="K238" s="9"/>
      <c r="L238" s="9"/>
      <c r="M238" s="9"/>
      <c r="N23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8" s="660"/>
      <c r="P238" s="660"/>
      <c r="Q238" s="461"/>
      <c r="R238" s="381"/>
      <c r="S238" s="37"/>
      <c r="T238" s="37"/>
      <c r="U238" s="37"/>
      <c r="V238" s="37"/>
      <c r="W238" s="37"/>
      <c r="X238" s="37"/>
      <c r="Y23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8" s="37"/>
      <c r="AA238" s="662" t="str">
        <f>IF(COUNTA(CCTSAS[[#This Row],[Nom]:[heures annuelles
selon contrat(s)]])=0,"",CCTSAS[[#This Row],[Total global]]-ABS(CCTSAS[[#This Row],[Dont non opposable]]))</f>
        <v/>
      </c>
      <c r="AB238" s="8"/>
      <c r="AC238" s="63"/>
      <c r="AD238" s="428"/>
      <c r="AE238" s="428"/>
      <c r="AF238" s="428"/>
      <c r="AG238" s="43"/>
      <c r="AH238" s="183" t="str">
        <f>IF(COUNTA(CCTSAS[[#This Row],[Nom]:[heures annuelles
selon contrat(s)]])=0,"",REVEX!$E$9)</f>
        <v/>
      </c>
      <c r="AI238" s="72" t="str">
        <f>IF(CCTSAS[[#This Row],[Allocation fonctions]]="","",IF(ISNA(VLOOKUP(CCTSAS[[#This Row],[Allocation fonctions]],DROPDOWN[Dropdown82],1,FALSE))=TRUE,"Veuillez utiliser les allocations parmis la liste déroulante.",""))</f>
        <v/>
      </c>
    </row>
    <row r="239" spans="1:35" x14ac:dyDescent="0.25">
      <c r="A239" s="72" t="str">
        <f>IF(CCTSAS[[#This Row],[Carrière]]="","",IF(ISNA(VLOOKUP(CCTSAS[[#This Row],[Carrière]],DROPDOWN[Dropdown9],1,FALSE))=TRUE,"Carrière: Utiliser la liste déroulante",""))</f>
        <v/>
      </c>
      <c r="B239" s="554" t="str">
        <f>IF(CCTSAS[[#This Row],[Matricule]]="","",MAX($B$7:B238)+1)</f>
        <v/>
      </c>
      <c r="C239" s="8"/>
      <c r="D239" s="8"/>
      <c r="E239" s="20"/>
      <c r="F239" s="63"/>
      <c r="G239" s="8"/>
      <c r="H239" s="8"/>
      <c r="I239" s="10"/>
      <c r="J239" s="10"/>
      <c r="K239" s="9"/>
      <c r="L239" s="9"/>
      <c r="M239" s="9"/>
      <c r="N23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39" s="660"/>
      <c r="P239" s="660"/>
      <c r="Q239" s="461"/>
      <c r="R239" s="381"/>
      <c r="S239" s="37"/>
      <c r="T239" s="37"/>
      <c r="U239" s="37"/>
      <c r="V239" s="37"/>
      <c r="W239" s="37"/>
      <c r="X239" s="37"/>
      <c r="Y23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39" s="37"/>
      <c r="AA239" s="662" t="str">
        <f>IF(COUNTA(CCTSAS[[#This Row],[Nom]:[heures annuelles
selon contrat(s)]])=0,"",CCTSAS[[#This Row],[Total global]]-ABS(CCTSAS[[#This Row],[Dont non opposable]]))</f>
        <v/>
      </c>
      <c r="AB239" s="8"/>
      <c r="AC239" s="63"/>
      <c r="AD239" s="428"/>
      <c r="AE239" s="428"/>
      <c r="AF239" s="428"/>
      <c r="AG239" s="43"/>
      <c r="AH239" s="183" t="str">
        <f>IF(COUNTA(CCTSAS[[#This Row],[Nom]:[heures annuelles
selon contrat(s)]])=0,"",REVEX!$E$9)</f>
        <v/>
      </c>
      <c r="AI239" s="72" t="str">
        <f>IF(CCTSAS[[#This Row],[Allocation fonctions]]="","",IF(ISNA(VLOOKUP(CCTSAS[[#This Row],[Allocation fonctions]],DROPDOWN[Dropdown82],1,FALSE))=TRUE,"Veuillez utiliser les allocations parmis la liste déroulante.",""))</f>
        <v/>
      </c>
    </row>
    <row r="240" spans="1:35" x14ac:dyDescent="0.25">
      <c r="A240" s="72" t="str">
        <f>IF(CCTSAS[[#This Row],[Carrière]]="","",IF(ISNA(VLOOKUP(CCTSAS[[#This Row],[Carrière]],DROPDOWN[Dropdown9],1,FALSE))=TRUE,"Carrière: Utiliser la liste déroulante",""))</f>
        <v/>
      </c>
      <c r="B240" s="554" t="str">
        <f>IF(CCTSAS[[#This Row],[Matricule]]="","",MAX($B$7:B239)+1)</f>
        <v/>
      </c>
      <c r="C240" s="8"/>
      <c r="D240" s="8"/>
      <c r="E240" s="20"/>
      <c r="F240" s="63"/>
      <c r="G240" s="8"/>
      <c r="H240" s="8"/>
      <c r="I240" s="10"/>
      <c r="J240" s="10"/>
      <c r="K240" s="9"/>
      <c r="L240" s="9"/>
      <c r="M240" s="9"/>
      <c r="N24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0" s="660"/>
      <c r="P240" s="660"/>
      <c r="Q240" s="461"/>
      <c r="R240" s="381"/>
      <c r="S240" s="37"/>
      <c r="T240" s="37"/>
      <c r="U240" s="37"/>
      <c r="V240" s="37"/>
      <c r="W240" s="37"/>
      <c r="X240" s="37"/>
      <c r="Y24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0" s="37"/>
      <c r="AA240" s="662" t="str">
        <f>IF(COUNTA(CCTSAS[[#This Row],[Nom]:[heures annuelles
selon contrat(s)]])=0,"",CCTSAS[[#This Row],[Total global]]-ABS(CCTSAS[[#This Row],[Dont non opposable]]))</f>
        <v/>
      </c>
      <c r="AB240" s="8"/>
      <c r="AC240" s="63"/>
      <c r="AD240" s="428"/>
      <c r="AE240" s="428"/>
      <c r="AF240" s="428"/>
      <c r="AG240" s="43"/>
      <c r="AH240" s="183" t="str">
        <f>IF(COUNTA(CCTSAS[[#This Row],[Nom]:[heures annuelles
selon contrat(s)]])=0,"",REVEX!$E$9)</f>
        <v/>
      </c>
      <c r="AI240" s="72" t="str">
        <f>IF(CCTSAS[[#This Row],[Allocation fonctions]]="","",IF(ISNA(VLOOKUP(CCTSAS[[#This Row],[Allocation fonctions]],DROPDOWN[Dropdown82],1,FALSE))=TRUE,"Veuillez utiliser les allocations parmis la liste déroulante.",""))</f>
        <v/>
      </c>
    </row>
    <row r="241" spans="1:35" x14ac:dyDescent="0.25">
      <c r="A241" s="72" t="str">
        <f>IF(CCTSAS[[#This Row],[Carrière]]="","",IF(ISNA(VLOOKUP(CCTSAS[[#This Row],[Carrière]],DROPDOWN[Dropdown9],1,FALSE))=TRUE,"Carrière: Utiliser la liste déroulante",""))</f>
        <v/>
      </c>
      <c r="B241" s="554" t="str">
        <f>IF(CCTSAS[[#This Row],[Matricule]]="","",MAX($B$7:B240)+1)</f>
        <v/>
      </c>
      <c r="C241" s="8"/>
      <c r="D241" s="8"/>
      <c r="E241" s="20"/>
      <c r="F241" s="63"/>
      <c r="G241" s="8"/>
      <c r="H241" s="8"/>
      <c r="I241" s="10"/>
      <c r="J241" s="10"/>
      <c r="K241" s="9"/>
      <c r="L241" s="9"/>
      <c r="M241" s="9"/>
      <c r="N24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1" s="660"/>
      <c r="P241" s="660"/>
      <c r="Q241" s="461"/>
      <c r="R241" s="381"/>
      <c r="S241" s="37"/>
      <c r="T241" s="37"/>
      <c r="U241" s="37"/>
      <c r="V241" s="37"/>
      <c r="W241" s="37"/>
      <c r="X241" s="37"/>
      <c r="Y24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1" s="37"/>
      <c r="AA241" s="662" t="str">
        <f>IF(COUNTA(CCTSAS[[#This Row],[Nom]:[heures annuelles
selon contrat(s)]])=0,"",CCTSAS[[#This Row],[Total global]]-ABS(CCTSAS[[#This Row],[Dont non opposable]]))</f>
        <v/>
      </c>
      <c r="AB241" s="8"/>
      <c r="AC241" s="63"/>
      <c r="AD241" s="428"/>
      <c r="AE241" s="428"/>
      <c r="AF241" s="428"/>
      <c r="AG241" s="43"/>
      <c r="AH241" s="183" t="str">
        <f>IF(COUNTA(CCTSAS[[#This Row],[Nom]:[heures annuelles
selon contrat(s)]])=0,"",REVEX!$E$9)</f>
        <v/>
      </c>
      <c r="AI241" s="72" t="str">
        <f>IF(CCTSAS[[#This Row],[Allocation fonctions]]="","",IF(ISNA(VLOOKUP(CCTSAS[[#This Row],[Allocation fonctions]],DROPDOWN[Dropdown82],1,FALSE))=TRUE,"Veuillez utiliser les allocations parmis la liste déroulante.",""))</f>
        <v/>
      </c>
    </row>
    <row r="242" spans="1:35" x14ac:dyDescent="0.25">
      <c r="A242" s="72" t="str">
        <f>IF(CCTSAS[[#This Row],[Carrière]]="","",IF(ISNA(VLOOKUP(CCTSAS[[#This Row],[Carrière]],DROPDOWN[Dropdown9],1,FALSE))=TRUE,"Carrière: Utiliser la liste déroulante",""))</f>
        <v/>
      </c>
      <c r="B242" s="554" t="str">
        <f>IF(CCTSAS[[#This Row],[Matricule]]="","",MAX($B$7:B241)+1)</f>
        <v/>
      </c>
      <c r="C242" s="8"/>
      <c r="D242" s="8"/>
      <c r="E242" s="20"/>
      <c r="F242" s="63"/>
      <c r="G242" s="8"/>
      <c r="H242" s="8"/>
      <c r="I242" s="10"/>
      <c r="J242" s="10"/>
      <c r="K242" s="9"/>
      <c r="L242" s="9"/>
      <c r="M242" s="9"/>
      <c r="N24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2" s="660"/>
      <c r="P242" s="660"/>
      <c r="Q242" s="461"/>
      <c r="R242" s="381"/>
      <c r="S242" s="37"/>
      <c r="T242" s="37"/>
      <c r="U242" s="37"/>
      <c r="V242" s="37"/>
      <c r="W242" s="37"/>
      <c r="X242" s="37"/>
      <c r="Y24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2" s="37"/>
      <c r="AA242" s="662" t="str">
        <f>IF(COUNTA(CCTSAS[[#This Row],[Nom]:[heures annuelles
selon contrat(s)]])=0,"",CCTSAS[[#This Row],[Total global]]-ABS(CCTSAS[[#This Row],[Dont non opposable]]))</f>
        <v/>
      </c>
      <c r="AB242" s="8"/>
      <c r="AC242" s="63"/>
      <c r="AD242" s="428"/>
      <c r="AE242" s="428"/>
      <c r="AF242" s="428"/>
      <c r="AG242" s="43"/>
      <c r="AH242" s="183" t="str">
        <f>IF(COUNTA(CCTSAS[[#This Row],[Nom]:[heures annuelles
selon contrat(s)]])=0,"",REVEX!$E$9)</f>
        <v/>
      </c>
      <c r="AI242" s="72" t="str">
        <f>IF(CCTSAS[[#This Row],[Allocation fonctions]]="","",IF(ISNA(VLOOKUP(CCTSAS[[#This Row],[Allocation fonctions]],DROPDOWN[Dropdown82],1,FALSE))=TRUE,"Veuillez utiliser les allocations parmis la liste déroulante.",""))</f>
        <v/>
      </c>
    </row>
    <row r="243" spans="1:35" x14ac:dyDescent="0.25">
      <c r="A243" s="72" t="str">
        <f>IF(CCTSAS[[#This Row],[Carrière]]="","",IF(ISNA(VLOOKUP(CCTSAS[[#This Row],[Carrière]],DROPDOWN[Dropdown9],1,FALSE))=TRUE,"Carrière: Utiliser la liste déroulante",""))</f>
        <v/>
      </c>
      <c r="B243" s="554" t="str">
        <f>IF(CCTSAS[[#This Row],[Matricule]]="","",MAX($B$7:B242)+1)</f>
        <v/>
      </c>
      <c r="C243" s="8"/>
      <c r="D243" s="8"/>
      <c r="E243" s="20"/>
      <c r="F243" s="63"/>
      <c r="G243" s="8"/>
      <c r="H243" s="8"/>
      <c r="I243" s="10"/>
      <c r="J243" s="10"/>
      <c r="K243" s="9"/>
      <c r="L243" s="9"/>
      <c r="M243" s="9"/>
      <c r="N24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3" s="660"/>
      <c r="P243" s="660"/>
      <c r="Q243" s="461"/>
      <c r="R243" s="381"/>
      <c r="S243" s="37"/>
      <c r="T243" s="37"/>
      <c r="U243" s="37"/>
      <c r="V243" s="37"/>
      <c r="W243" s="37"/>
      <c r="X243" s="37"/>
      <c r="Y24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3" s="37"/>
      <c r="AA243" s="662" t="str">
        <f>IF(COUNTA(CCTSAS[[#This Row],[Nom]:[heures annuelles
selon contrat(s)]])=0,"",CCTSAS[[#This Row],[Total global]]-ABS(CCTSAS[[#This Row],[Dont non opposable]]))</f>
        <v/>
      </c>
      <c r="AB243" s="8"/>
      <c r="AC243" s="63"/>
      <c r="AD243" s="428"/>
      <c r="AE243" s="428"/>
      <c r="AF243" s="428"/>
      <c r="AG243" s="43"/>
      <c r="AH243" s="183" t="str">
        <f>IF(COUNTA(CCTSAS[[#This Row],[Nom]:[heures annuelles
selon contrat(s)]])=0,"",REVEX!$E$9)</f>
        <v/>
      </c>
      <c r="AI243" s="72" t="str">
        <f>IF(CCTSAS[[#This Row],[Allocation fonctions]]="","",IF(ISNA(VLOOKUP(CCTSAS[[#This Row],[Allocation fonctions]],DROPDOWN[Dropdown82],1,FALSE))=TRUE,"Veuillez utiliser les allocations parmis la liste déroulante.",""))</f>
        <v/>
      </c>
    </row>
    <row r="244" spans="1:35" x14ac:dyDescent="0.25">
      <c r="A244" s="72" t="str">
        <f>IF(CCTSAS[[#This Row],[Carrière]]="","",IF(ISNA(VLOOKUP(CCTSAS[[#This Row],[Carrière]],DROPDOWN[Dropdown9],1,FALSE))=TRUE,"Carrière: Utiliser la liste déroulante",""))</f>
        <v/>
      </c>
      <c r="B244" s="554" t="str">
        <f>IF(CCTSAS[[#This Row],[Matricule]]="","",MAX($B$7:B243)+1)</f>
        <v/>
      </c>
      <c r="C244" s="8"/>
      <c r="D244" s="8"/>
      <c r="E244" s="20"/>
      <c r="F244" s="63"/>
      <c r="G244" s="8"/>
      <c r="H244" s="8"/>
      <c r="I244" s="10"/>
      <c r="J244" s="10"/>
      <c r="K244" s="9"/>
      <c r="L244" s="9"/>
      <c r="M244" s="9"/>
      <c r="N24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4" s="660"/>
      <c r="P244" s="660"/>
      <c r="Q244" s="461"/>
      <c r="R244" s="381"/>
      <c r="S244" s="37"/>
      <c r="T244" s="37"/>
      <c r="U244" s="37"/>
      <c r="V244" s="37"/>
      <c r="W244" s="37"/>
      <c r="X244" s="37"/>
      <c r="Y24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4" s="37"/>
      <c r="AA244" s="662" t="str">
        <f>IF(COUNTA(CCTSAS[[#This Row],[Nom]:[heures annuelles
selon contrat(s)]])=0,"",CCTSAS[[#This Row],[Total global]]-ABS(CCTSAS[[#This Row],[Dont non opposable]]))</f>
        <v/>
      </c>
      <c r="AB244" s="8"/>
      <c r="AC244" s="63"/>
      <c r="AD244" s="428"/>
      <c r="AE244" s="428"/>
      <c r="AF244" s="428"/>
      <c r="AG244" s="43"/>
      <c r="AH244" s="183" t="str">
        <f>IF(COUNTA(CCTSAS[[#This Row],[Nom]:[heures annuelles
selon contrat(s)]])=0,"",REVEX!$E$9)</f>
        <v/>
      </c>
      <c r="AI244" s="72" t="str">
        <f>IF(CCTSAS[[#This Row],[Allocation fonctions]]="","",IF(ISNA(VLOOKUP(CCTSAS[[#This Row],[Allocation fonctions]],DROPDOWN[Dropdown82],1,FALSE))=TRUE,"Veuillez utiliser les allocations parmis la liste déroulante.",""))</f>
        <v/>
      </c>
    </row>
    <row r="245" spans="1:35" x14ac:dyDescent="0.25">
      <c r="A245" s="72" t="str">
        <f>IF(CCTSAS[[#This Row],[Carrière]]="","",IF(ISNA(VLOOKUP(CCTSAS[[#This Row],[Carrière]],DROPDOWN[Dropdown9],1,FALSE))=TRUE,"Carrière: Utiliser la liste déroulante",""))</f>
        <v/>
      </c>
      <c r="B245" s="554" t="str">
        <f>IF(CCTSAS[[#This Row],[Matricule]]="","",MAX($B$7:B244)+1)</f>
        <v/>
      </c>
      <c r="C245" s="8"/>
      <c r="D245" s="8"/>
      <c r="E245" s="20"/>
      <c r="F245" s="63"/>
      <c r="G245" s="8"/>
      <c r="H245" s="8"/>
      <c r="I245" s="10"/>
      <c r="J245" s="10"/>
      <c r="K245" s="9"/>
      <c r="L245" s="9"/>
      <c r="M245" s="9"/>
      <c r="N24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5" s="660"/>
      <c r="P245" s="660"/>
      <c r="Q245" s="461"/>
      <c r="R245" s="381"/>
      <c r="S245" s="37"/>
      <c r="T245" s="37"/>
      <c r="U245" s="37"/>
      <c r="V245" s="37"/>
      <c r="W245" s="37"/>
      <c r="X245" s="37"/>
      <c r="Y24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5" s="37"/>
      <c r="AA245" s="662" t="str">
        <f>IF(COUNTA(CCTSAS[[#This Row],[Nom]:[heures annuelles
selon contrat(s)]])=0,"",CCTSAS[[#This Row],[Total global]]-ABS(CCTSAS[[#This Row],[Dont non opposable]]))</f>
        <v/>
      </c>
      <c r="AB245" s="8"/>
      <c r="AC245" s="63"/>
      <c r="AD245" s="428"/>
      <c r="AE245" s="428"/>
      <c r="AF245" s="428"/>
      <c r="AG245" s="43"/>
      <c r="AH245" s="183" t="str">
        <f>IF(COUNTA(CCTSAS[[#This Row],[Nom]:[heures annuelles
selon contrat(s)]])=0,"",REVEX!$E$9)</f>
        <v/>
      </c>
      <c r="AI245" s="72" t="str">
        <f>IF(CCTSAS[[#This Row],[Allocation fonctions]]="","",IF(ISNA(VLOOKUP(CCTSAS[[#This Row],[Allocation fonctions]],DROPDOWN[Dropdown82],1,FALSE))=TRUE,"Veuillez utiliser les allocations parmis la liste déroulante.",""))</f>
        <v/>
      </c>
    </row>
    <row r="246" spans="1:35" x14ac:dyDescent="0.25">
      <c r="A246" s="72" t="str">
        <f>IF(CCTSAS[[#This Row],[Carrière]]="","",IF(ISNA(VLOOKUP(CCTSAS[[#This Row],[Carrière]],DROPDOWN[Dropdown9],1,FALSE))=TRUE,"Carrière: Utiliser la liste déroulante",""))</f>
        <v/>
      </c>
      <c r="B246" s="554" t="str">
        <f>IF(CCTSAS[[#This Row],[Matricule]]="","",MAX($B$7:B245)+1)</f>
        <v/>
      </c>
      <c r="C246" s="8"/>
      <c r="D246" s="8"/>
      <c r="E246" s="20"/>
      <c r="F246" s="63"/>
      <c r="G246" s="8"/>
      <c r="H246" s="8"/>
      <c r="I246" s="10"/>
      <c r="J246" s="10"/>
      <c r="K246" s="9"/>
      <c r="L246" s="9"/>
      <c r="M246" s="9"/>
      <c r="N24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6" s="660"/>
      <c r="P246" s="660"/>
      <c r="Q246" s="461"/>
      <c r="R246" s="381"/>
      <c r="S246" s="37"/>
      <c r="T246" s="37"/>
      <c r="U246" s="37"/>
      <c r="V246" s="37"/>
      <c r="W246" s="37"/>
      <c r="X246" s="37"/>
      <c r="Y24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6" s="37"/>
      <c r="AA246" s="662" t="str">
        <f>IF(COUNTA(CCTSAS[[#This Row],[Nom]:[heures annuelles
selon contrat(s)]])=0,"",CCTSAS[[#This Row],[Total global]]-ABS(CCTSAS[[#This Row],[Dont non opposable]]))</f>
        <v/>
      </c>
      <c r="AB246" s="8"/>
      <c r="AC246" s="63"/>
      <c r="AD246" s="428"/>
      <c r="AE246" s="428"/>
      <c r="AF246" s="428"/>
      <c r="AG246" s="43"/>
      <c r="AH246" s="183" t="str">
        <f>IF(COUNTA(CCTSAS[[#This Row],[Nom]:[heures annuelles
selon contrat(s)]])=0,"",REVEX!$E$9)</f>
        <v/>
      </c>
      <c r="AI246" s="72" t="str">
        <f>IF(CCTSAS[[#This Row],[Allocation fonctions]]="","",IF(ISNA(VLOOKUP(CCTSAS[[#This Row],[Allocation fonctions]],DROPDOWN[Dropdown82],1,FALSE))=TRUE,"Veuillez utiliser les allocations parmis la liste déroulante.",""))</f>
        <v/>
      </c>
    </row>
    <row r="247" spans="1:35" x14ac:dyDescent="0.25">
      <c r="A247" s="72" t="str">
        <f>IF(CCTSAS[[#This Row],[Carrière]]="","",IF(ISNA(VLOOKUP(CCTSAS[[#This Row],[Carrière]],DROPDOWN[Dropdown9],1,FALSE))=TRUE,"Carrière: Utiliser la liste déroulante",""))</f>
        <v/>
      </c>
      <c r="B247" s="554" t="str">
        <f>IF(CCTSAS[[#This Row],[Matricule]]="","",MAX($B$7:B246)+1)</f>
        <v/>
      </c>
      <c r="C247" s="8"/>
      <c r="D247" s="8"/>
      <c r="E247" s="20"/>
      <c r="F247" s="63"/>
      <c r="G247" s="8"/>
      <c r="H247" s="8"/>
      <c r="I247" s="10"/>
      <c r="J247" s="10"/>
      <c r="K247" s="9"/>
      <c r="L247" s="9"/>
      <c r="M247" s="9"/>
      <c r="N24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7" s="660"/>
      <c r="P247" s="660"/>
      <c r="Q247" s="461"/>
      <c r="R247" s="381"/>
      <c r="S247" s="37"/>
      <c r="T247" s="37"/>
      <c r="U247" s="37"/>
      <c r="V247" s="37"/>
      <c r="W247" s="37"/>
      <c r="X247" s="37"/>
      <c r="Y24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7" s="37"/>
      <c r="AA247" s="662" t="str">
        <f>IF(COUNTA(CCTSAS[[#This Row],[Nom]:[heures annuelles
selon contrat(s)]])=0,"",CCTSAS[[#This Row],[Total global]]-ABS(CCTSAS[[#This Row],[Dont non opposable]]))</f>
        <v/>
      </c>
      <c r="AB247" s="8"/>
      <c r="AC247" s="63"/>
      <c r="AD247" s="428"/>
      <c r="AE247" s="428"/>
      <c r="AF247" s="428"/>
      <c r="AG247" s="43"/>
      <c r="AH247" s="183" t="str">
        <f>IF(COUNTA(CCTSAS[[#This Row],[Nom]:[heures annuelles
selon contrat(s)]])=0,"",REVEX!$E$9)</f>
        <v/>
      </c>
      <c r="AI247" s="72" t="str">
        <f>IF(CCTSAS[[#This Row],[Allocation fonctions]]="","",IF(ISNA(VLOOKUP(CCTSAS[[#This Row],[Allocation fonctions]],DROPDOWN[Dropdown82],1,FALSE))=TRUE,"Veuillez utiliser les allocations parmis la liste déroulante.",""))</f>
        <v/>
      </c>
    </row>
    <row r="248" spans="1:35" x14ac:dyDescent="0.25">
      <c r="A248" s="72" t="str">
        <f>IF(CCTSAS[[#This Row],[Carrière]]="","",IF(ISNA(VLOOKUP(CCTSAS[[#This Row],[Carrière]],DROPDOWN[Dropdown9],1,FALSE))=TRUE,"Carrière: Utiliser la liste déroulante",""))</f>
        <v/>
      </c>
      <c r="B248" s="554" t="str">
        <f>IF(CCTSAS[[#This Row],[Matricule]]="","",MAX($B$7:B247)+1)</f>
        <v/>
      </c>
      <c r="C248" s="8"/>
      <c r="D248" s="8"/>
      <c r="E248" s="20"/>
      <c r="F248" s="63"/>
      <c r="G248" s="8"/>
      <c r="H248" s="8"/>
      <c r="I248" s="10"/>
      <c r="J248" s="10"/>
      <c r="K248" s="9"/>
      <c r="L248" s="9"/>
      <c r="M248" s="9"/>
      <c r="N24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8" s="660"/>
      <c r="P248" s="660"/>
      <c r="Q248" s="461"/>
      <c r="R248" s="381"/>
      <c r="S248" s="37"/>
      <c r="T248" s="37"/>
      <c r="U248" s="37"/>
      <c r="V248" s="37"/>
      <c r="W248" s="37"/>
      <c r="X248" s="37"/>
      <c r="Y24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8" s="37"/>
      <c r="AA248" s="662" t="str">
        <f>IF(COUNTA(CCTSAS[[#This Row],[Nom]:[heures annuelles
selon contrat(s)]])=0,"",CCTSAS[[#This Row],[Total global]]-ABS(CCTSAS[[#This Row],[Dont non opposable]]))</f>
        <v/>
      </c>
      <c r="AB248" s="8"/>
      <c r="AC248" s="63"/>
      <c r="AD248" s="428"/>
      <c r="AE248" s="428"/>
      <c r="AF248" s="428"/>
      <c r="AG248" s="43"/>
      <c r="AH248" s="183" t="str">
        <f>IF(COUNTA(CCTSAS[[#This Row],[Nom]:[heures annuelles
selon contrat(s)]])=0,"",REVEX!$E$9)</f>
        <v/>
      </c>
      <c r="AI248" s="72" t="str">
        <f>IF(CCTSAS[[#This Row],[Allocation fonctions]]="","",IF(ISNA(VLOOKUP(CCTSAS[[#This Row],[Allocation fonctions]],DROPDOWN[Dropdown82],1,FALSE))=TRUE,"Veuillez utiliser les allocations parmis la liste déroulante.",""))</f>
        <v/>
      </c>
    </row>
    <row r="249" spans="1:35" x14ac:dyDescent="0.25">
      <c r="A249" s="72" t="str">
        <f>IF(CCTSAS[[#This Row],[Carrière]]="","",IF(ISNA(VLOOKUP(CCTSAS[[#This Row],[Carrière]],DROPDOWN[Dropdown9],1,FALSE))=TRUE,"Carrière: Utiliser la liste déroulante",""))</f>
        <v/>
      </c>
      <c r="B249" s="554" t="str">
        <f>IF(CCTSAS[[#This Row],[Matricule]]="","",MAX($B$7:B248)+1)</f>
        <v/>
      </c>
      <c r="C249" s="8"/>
      <c r="D249" s="8"/>
      <c r="E249" s="20"/>
      <c r="F249" s="63"/>
      <c r="G249" s="8"/>
      <c r="H249" s="8"/>
      <c r="I249" s="10"/>
      <c r="J249" s="10"/>
      <c r="K249" s="9"/>
      <c r="L249" s="9"/>
      <c r="M249" s="9"/>
      <c r="N24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49" s="660"/>
      <c r="P249" s="660"/>
      <c r="Q249" s="461"/>
      <c r="R249" s="381"/>
      <c r="S249" s="37"/>
      <c r="T249" s="37"/>
      <c r="U249" s="37"/>
      <c r="V249" s="37"/>
      <c r="W249" s="37"/>
      <c r="X249" s="37"/>
      <c r="Y24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49" s="37"/>
      <c r="AA249" s="662" t="str">
        <f>IF(COUNTA(CCTSAS[[#This Row],[Nom]:[heures annuelles
selon contrat(s)]])=0,"",CCTSAS[[#This Row],[Total global]]-ABS(CCTSAS[[#This Row],[Dont non opposable]]))</f>
        <v/>
      </c>
      <c r="AB249" s="8"/>
      <c r="AC249" s="63"/>
      <c r="AD249" s="428"/>
      <c r="AE249" s="428"/>
      <c r="AF249" s="428"/>
      <c r="AG249" s="43"/>
      <c r="AH249" s="183" t="str">
        <f>IF(COUNTA(CCTSAS[[#This Row],[Nom]:[heures annuelles
selon contrat(s)]])=0,"",REVEX!$E$9)</f>
        <v/>
      </c>
      <c r="AI249" s="72" t="str">
        <f>IF(CCTSAS[[#This Row],[Allocation fonctions]]="","",IF(ISNA(VLOOKUP(CCTSAS[[#This Row],[Allocation fonctions]],DROPDOWN[Dropdown82],1,FALSE))=TRUE,"Veuillez utiliser les allocations parmis la liste déroulante.",""))</f>
        <v/>
      </c>
    </row>
    <row r="250" spans="1:35" x14ac:dyDescent="0.25">
      <c r="A250" s="72" t="str">
        <f>IF(CCTSAS[[#This Row],[Carrière]]="","",IF(ISNA(VLOOKUP(CCTSAS[[#This Row],[Carrière]],DROPDOWN[Dropdown9],1,FALSE))=TRUE,"Carrière: Utiliser la liste déroulante",""))</f>
        <v/>
      </c>
      <c r="B250" s="554" t="str">
        <f>IF(CCTSAS[[#This Row],[Matricule]]="","",MAX($B$7:B249)+1)</f>
        <v/>
      </c>
      <c r="C250" s="8"/>
      <c r="D250" s="8"/>
      <c r="E250" s="20"/>
      <c r="F250" s="63"/>
      <c r="G250" s="8"/>
      <c r="H250" s="8"/>
      <c r="I250" s="10"/>
      <c r="J250" s="10"/>
      <c r="K250" s="9"/>
      <c r="L250" s="9"/>
      <c r="M250" s="9"/>
      <c r="N25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0" s="660"/>
      <c r="P250" s="660"/>
      <c r="Q250" s="461"/>
      <c r="R250" s="381"/>
      <c r="S250" s="37"/>
      <c r="T250" s="37"/>
      <c r="U250" s="37"/>
      <c r="V250" s="37"/>
      <c r="W250" s="37"/>
      <c r="X250" s="37"/>
      <c r="Y25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0" s="37"/>
      <c r="AA250" s="662" t="str">
        <f>IF(COUNTA(CCTSAS[[#This Row],[Nom]:[heures annuelles
selon contrat(s)]])=0,"",CCTSAS[[#This Row],[Total global]]-ABS(CCTSAS[[#This Row],[Dont non opposable]]))</f>
        <v/>
      </c>
      <c r="AB250" s="8"/>
      <c r="AC250" s="63"/>
      <c r="AD250" s="428"/>
      <c r="AE250" s="428"/>
      <c r="AF250" s="428"/>
      <c r="AG250" s="43"/>
      <c r="AH250" s="183" t="str">
        <f>IF(COUNTA(CCTSAS[[#This Row],[Nom]:[heures annuelles
selon contrat(s)]])=0,"",REVEX!$E$9)</f>
        <v/>
      </c>
      <c r="AI250" s="72" t="str">
        <f>IF(CCTSAS[[#This Row],[Allocation fonctions]]="","",IF(ISNA(VLOOKUP(CCTSAS[[#This Row],[Allocation fonctions]],DROPDOWN[Dropdown82],1,FALSE))=TRUE,"Veuillez utiliser les allocations parmis la liste déroulante.",""))</f>
        <v/>
      </c>
    </row>
    <row r="251" spans="1:35" x14ac:dyDescent="0.25">
      <c r="A251" s="72" t="str">
        <f>IF(CCTSAS[[#This Row],[Carrière]]="","",IF(ISNA(VLOOKUP(CCTSAS[[#This Row],[Carrière]],DROPDOWN[Dropdown9],1,FALSE))=TRUE,"Carrière: Utiliser la liste déroulante",""))</f>
        <v/>
      </c>
      <c r="B251" s="554" t="str">
        <f>IF(CCTSAS[[#This Row],[Matricule]]="","",MAX($B$7:B250)+1)</f>
        <v/>
      </c>
      <c r="C251" s="8"/>
      <c r="D251" s="8"/>
      <c r="E251" s="20"/>
      <c r="F251" s="63"/>
      <c r="G251" s="8"/>
      <c r="H251" s="8"/>
      <c r="I251" s="10"/>
      <c r="J251" s="10"/>
      <c r="K251" s="9"/>
      <c r="L251" s="9"/>
      <c r="M251" s="9"/>
      <c r="N25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1" s="660"/>
      <c r="P251" s="660"/>
      <c r="Q251" s="461"/>
      <c r="R251" s="381"/>
      <c r="S251" s="37"/>
      <c r="T251" s="37"/>
      <c r="U251" s="37"/>
      <c r="V251" s="37"/>
      <c r="W251" s="37"/>
      <c r="X251" s="37"/>
      <c r="Y25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1" s="37"/>
      <c r="AA251" s="662" t="str">
        <f>IF(COUNTA(CCTSAS[[#This Row],[Nom]:[heures annuelles
selon contrat(s)]])=0,"",CCTSAS[[#This Row],[Total global]]-ABS(CCTSAS[[#This Row],[Dont non opposable]]))</f>
        <v/>
      </c>
      <c r="AB251" s="8"/>
      <c r="AC251" s="63"/>
      <c r="AD251" s="428"/>
      <c r="AE251" s="428"/>
      <c r="AF251" s="428"/>
      <c r="AG251" s="43"/>
      <c r="AH251" s="183" t="str">
        <f>IF(COUNTA(CCTSAS[[#This Row],[Nom]:[heures annuelles
selon contrat(s)]])=0,"",REVEX!$E$9)</f>
        <v/>
      </c>
      <c r="AI251" s="72" t="str">
        <f>IF(CCTSAS[[#This Row],[Allocation fonctions]]="","",IF(ISNA(VLOOKUP(CCTSAS[[#This Row],[Allocation fonctions]],DROPDOWN[Dropdown82],1,FALSE))=TRUE,"Veuillez utiliser les allocations parmis la liste déroulante.",""))</f>
        <v/>
      </c>
    </row>
    <row r="252" spans="1:35" x14ac:dyDescent="0.25">
      <c r="A252" s="72" t="str">
        <f>IF(CCTSAS[[#This Row],[Carrière]]="","",IF(ISNA(VLOOKUP(CCTSAS[[#This Row],[Carrière]],DROPDOWN[Dropdown9],1,FALSE))=TRUE,"Carrière: Utiliser la liste déroulante",""))</f>
        <v/>
      </c>
      <c r="B252" s="554" t="str">
        <f>IF(CCTSAS[[#This Row],[Matricule]]="","",MAX($B$7:B251)+1)</f>
        <v/>
      </c>
      <c r="C252" s="8"/>
      <c r="D252" s="8"/>
      <c r="E252" s="20"/>
      <c r="F252" s="63"/>
      <c r="G252" s="8"/>
      <c r="H252" s="8"/>
      <c r="I252" s="10"/>
      <c r="J252" s="10"/>
      <c r="K252" s="9"/>
      <c r="L252" s="9"/>
      <c r="M252" s="9"/>
      <c r="N25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2" s="660"/>
      <c r="P252" s="660"/>
      <c r="Q252" s="461"/>
      <c r="R252" s="381"/>
      <c r="S252" s="37"/>
      <c r="T252" s="37"/>
      <c r="U252" s="37"/>
      <c r="V252" s="37"/>
      <c r="W252" s="37"/>
      <c r="X252" s="37"/>
      <c r="Y25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2" s="37"/>
      <c r="AA252" s="662" t="str">
        <f>IF(COUNTA(CCTSAS[[#This Row],[Nom]:[heures annuelles
selon contrat(s)]])=0,"",CCTSAS[[#This Row],[Total global]]-ABS(CCTSAS[[#This Row],[Dont non opposable]]))</f>
        <v/>
      </c>
      <c r="AB252" s="8"/>
      <c r="AC252" s="63"/>
      <c r="AD252" s="428"/>
      <c r="AE252" s="428"/>
      <c r="AF252" s="428"/>
      <c r="AG252" s="43"/>
      <c r="AH252" s="183" t="str">
        <f>IF(COUNTA(CCTSAS[[#This Row],[Nom]:[heures annuelles
selon contrat(s)]])=0,"",REVEX!$E$9)</f>
        <v/>
      </c>
      <c r="AI252" s="72" t="str">
        <f>IF(CCTSAS[[#This Row],[Allocation fonctions]]="","",IF(ISNA(VLOOKUP(CCTSAS[[#This Row],[Allocation fonctions]],DROPDOWN[Dropdown82],1,FALSE))=TRUE,"Veuillez utiliser les allocations parmis la liste déroulante.",""))</f>
        <v/>
      </c>
    </row>
    <row r="253" spans="1:35" x14ac:dyDescent="0.25">
      <c r="A253" s="72" t="str">
        <f>IF(CCTSAS[[#This Row],[Carrière]]="","",IF(ISNA(VLOOKUP(CCTSAS[[#This Row],[Carrière]],DROPDOWN[Dropdown9],1,FALSE))=TRUE,"Carrière: Utiliser la liste déroulante",""))</f>
        <v/>
      </c>
      <c r="B253" s="554" t="str">
        <f>IF(CCTSAS[[#This Row],[Matricule]]="","",MAX($B$7:B252)+1)</f>
        <v/>
      </c>
      <c r="C253" s="8"/>
      <c r="D253" s="8"/>
      <c r="E253" s="20"/>
      <c r="F253" s="63"/>
      <c r="G253" s="8"/>
      <c r="H253" s="8"/>
      <c r="I253" s="10"/>
      <c r="J253" s="10"/>
      <c r="K253" s="9"/>
      <c r="L253" s="9"/>
      <c r="M253" s="9"/>
      <c r="N25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3" s="660"/>
      <c r="P253" s="660"/>
      <c r="Q253" s="461"/>
      <c r="R253" s="381"/>
      <c r="S253" s="37"/>
      <c r="T253" s="37"/>
      <c r="U253" s="37"/>
      <c r="V253" s="37"/>
      <c r="W253" s="37"/>
      <c r="X253" s="37"/>
      <c r="Y25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3" s="37"/>
      <c r="AA253" s="662" t="str">
        <f>IF(COUNTA(CCTSAS[[#This Row],[Nom]:[heures annuelles
selon contrat(s)]])=0,"",CCTSAS[[#This Row],[Total global]]-ABS(CCTSAS[[#This Row],[Dont non opposable]]))</f>
        <v/>
      </c>
      <c r="AB253" s="8"/>
      <c r="AC253" s="63"/>
      <c r="AD253" s="428"/>
      <c r="AE253" s="428"/>
      <c r="AF253" s="428"/>
      <c r="AG253" s="43"/>
      <c r="AH253" s="183" t="str">
        <f>IF(COUNTA(CCTSAS[[#This Row],[Nom]:[heures annuelles
selon contrat(s)]])=0,"",REVEX!$E$9)</f>
        <v/>
      </c>
      <c r="AI253" s="72" t="str">
        <f>IF(CCTSAS[[#This Row],[Allocation fonctions]]="","",IF(ISNA(VLOOKUP(CCTSAS[[#This Row],[Allocation fonctions]],DROPDOWN[Dropdown82],1,FALSE))=TRUE,"Veuillez utiliser les allocations parmis la liste déroulante.",""))</f>
        <v/>
      </c>
    </row>
    <row r="254" spans="1:35" x14ac:dyDescent="0.25">
      <c r="A254" s="72" t="str">
        <f>IF(CCTSAS[[#This Row],[Carrière]]="","",IF(ISNA(VLOOKUP(CCTSAS[[#This Row],[Carrière]],DROPDOWN[Dropdown9],1,FALSE))=TRUE,"Carrière: Utiliser la liste déroulante",""))</f>
        <v/>
      </c>
      <c r="B254" s="554" t="str">
        <f>IF(CCTSAS[[#This Row],[Matricule]]="","",MAX($B$7:B253)+1)</f>
        <v/>
      </c>
      <c r="C254" s="8"/>
      <c r="D254" s="8"/>
      <c r="E254" s="20"/>
      <c r="F254" s="63"/>
      <c r="G254" s="8"/>
      <c r="H254" s="8"/>
      <c r="I254" s="10"/>
      <c r="J254" s="10"/>
      <c r="K254" s="9"/>
      <c r="L254" s="9"/>
      <c r="M254" s="9"/>
      <c r="N25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4" s="660"/>
      <c r="P254" s="660"/>
      <c r="Q254" s="461"/>
      <c r="R254" s="381"/>
      <c r="S254" s="37"/>
      <c r="T254" s="37"/>
      <c r="U254" s="37"/>
      <c r="V254" s="37"/>
      <c r="W254" s="37"/>
      <c r="X254" s="37"/>
      <c r="Y25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4" s="37"/>
      <c r="AA254" s="662" t="str">
        <f>IF(COUNTA(CCTSAS[[#This Row],[Nom]:[heures annuelles
selon contrat(s)]])=0,"",CCTSAS[[#This Row],[Total global]]-ABS(CCTSAS[[#This Row],[Dont non opposable]]))</f>
        <v/>
      </c>
      <c r="AB254" s="8"/>
      <c r="AC254" s="63"/>
      <c r="AD254" s="428"/>
      <c r="AE254" s="428"/>
      <c r="AF254" s="428"/>
      <c r="AG254" s="43"/>
      <c r="AH254" s="183" t="str">
        <f>IF(COUNTA(CCTSAS[[#This Row],[Nom]:[heures annuelles
selon contrat(s)]])=0,"",REVEX!$E$9)</f>
        <v/>
      </c>
      <c r="AI254" s="72" t="str">
        <f>IF(CCTSAS[[#This Row],[Allocation fonctions]]="","",IF(ISNA(VLOOKUP(CCTSAS[[#This Row],[Allocation fonctions]],DROPDOWN[Dropdown82],1,FALSE))=TRUE,"Veuillez utiliser les allocations parmis la liste déroulante.",""))</f>
        <v/>
      </c>
    </row>
    <row r="255" spans="1:35" x14ac:dyDescent="0.25">
      <c r="A255" s="72" t="str">
        <f>IF(CCTSAS[[#This Row],[Carrière]]="","",IF(ISNA(VLOOKUP(CCTSAS[[#This Row],[Carrière]],DROPDOWN[Dropdown9],1,FALSE))=TRUE,"Carrière: Utiliser la liste déroulante",""))</f>
        <v/>
      </c>
      <c r="B255" s="554" t="str">
        <f>IF(CCTSAS[[#This Row],[Matricule]]="","",MAX($B$7:B254)+1)</f>
        <v/>
      </c>
      <c r="C255" s="8"/>
      <c r="D255" s="8"/>
      <c r="E255" s="20"/>
      <c r="F255" s="63"/>
      <c r="G255" s="8"/>
      <c r="H255" s="8"/>
      <c r="I255" s="10"/>
      <c r="J255" s="10"/>
      <c r="K255" s="9"/>
      <c r="L255" s="9"/>
      <c r="M255" s="9"/>
      <c r="N25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5" s="660"/>
      <c r="P255" s="660"/>
      <c r="Q255" s="461"/>
      <c r="R255" s="381"/>
      <c r="S255" s="37"/>
      <c r="T255" s="37"/>
      <c r="U255" s="37"/>
      <c r="V255" s="37"/>
      <c r="W255" s="37"/>
      <c r="X255" s="37"/>
      <c r="Y25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5" s="37"/>
      <c r="AA255" s="662" t="str">
        <f>IF(COUNTA(CCTSAS[[#This Row],[Nom]:[heures annuelles
selon contrat(s)]])=0,"",CCTSAS[[#This Row],[Total global]]-ABS(CCTSAS[[#This Row],[Dont non opposable]]))</f>
        <v/>
      </c>
      <c r="AB255" s="8"/>
      <c r="AC255" s="63"/>
      <c r="AD255" s="428"/>
      <c r="AE255" s="428"/>
      <c r="AF255" s="428"/>
      <c r="AG255" s="43"/>
      <c r="AH255" s="183" t="str">
        <f>IF(COUNTA(CCTSAS[[#This Row],[Nom]:[heures annuelles
selon contrat(s)]])=0,"",REVEX!$E$9)</f>
        <v/>
      </c>
      <c r="AI255" s="72" t="str">
        <f>IF(CCTSAS[[#This Row],[Allocation fonctions]]="","",IF(ISNA(VLOOKUP(CCTSAS[[#This Row],[Allocation fonctions]],DROPDOWN[Dropdown82],1,FALSE))=TRUE,"Veuillez utiliser les allocations parmis la liste déroulante.",""))</f>
        <v/>
      </c>
    </row>
    <row r="256" spans="1:35" x14ac:dyDescent="0.25">
      <c r="A256" s="72" t="str">
        <f>IF(CCTSAS[[#This Row],[Carrière]]="","",IF(ISNA(VLOOKUP(CCTSAS[[#This Row],[Carrière]],DROPDOWN[Dropdown9],1,FALSE))=TRUE,"Carrière: Utiliser la liste déroulante",""))</f>
        <v/>
      </c>
      <c r="B256" s="554" t="str">
        <f>IF(CCTSAS[[#This Row],[Matricule]]="","",MAX($B$7:B255)+1)</f>
        <v/>
      </c>
      <c r="C256" s="8"/>
      <c r="D256" s="8"/>
      <c r="E256" s="20"/>
      <c r="F256" s="63"/>
      <c r="G256" s="8"/>
      <c r="H256" s="8"/>
      <c r="I256" s="10"/>
      <c r="J256" s="10"/>
      <c r="K256" s="9"/>
      <c r="L256" s="9"/>
      <c r="M256" s="9"/>
      <c r="N25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6" s="660"/>
      <c r="P256" s="660"/>
      <c r="Q256" s="461"/>
      <c r="R256" s="381"/>
      <c r="S256" s="37"/>
      <c r="T256" s="37"/>
      <c r="U256" s="37"/>
      <c r="V256" s="37"/>
      <c r="W256" s="37"/>
      <c r="X256" s="37"/>
      <c r="Y25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6" s="37"/>
      <c r="AA256" s="662" t="str">
        <f>IF(COUNTA(CCTSAS[[#This Row],[Nom]:[heures annuelles
selon contrat(s)]])=0,"",CCTSAS[[#This Row],[Total global]]-ABS(CCTSAS[[#This Row],[Dont non opposable]]))</f>
        <v/>
      </c>
      <c r="AB256" s="8"/>
      <c r="AC256" s="63"/>
      <c r="AD256" s="428"/>
      <c r="AE256" s="428"/>
      <c r="AF256" s="428"/>
      <c r="AG256" s="43"/>
      <c r="AH256" s="183" t="str">
        <f>IF(COUNTA(CCTSAS[[#This Row],[Nom]:[heures annuelles
selon contrat(s)]])=0,"",REVEX!$E$9)</f>
        <v/>
      </c>
      <c r="AI256" s="72" t="str">
        <f>IF(CCTSAS[[#This Row],[Allocation fonctions]]="","",IF(ISNA(VLOOKUP(CCTSAS[[#This Row],[Allocation fonctions]],DROPDOWN[Dropdown82],1,FALSE))=TRUE,"Veuillez utiliser les allocations parmis la liste déroulante.",""))</f>
        <v/>
      </c>
    </row>
    <row r="257" spans="1:35" x14ac:dyDescent="0.25">
      <c r="A257" s="72" t="str">
        <f>IF(CCTSAS[[#This Row],[Carrière]]="","",IF(ISNA(VLOOKUP(CCTSAS[[#This Row],[Carrière]],DROPDOWN[Dropdown9],1,FALSE))=TRUE,"Carrière: Utiliser la liste déroulante",""))</f>
        <v/>
      </c>
      <c r="B257" s="554" t="str">
        <f>IF(CCTSAS[[#This Row],[Matricule]]="","",MAX($B$7:B256)+1)</f>
        <v/>
      </c>
      <c r="C257" s="8"/>
      <c r="D257" s="8"/>
      <c r="E257" s="20"/>
      <c r="F257" s="63"/>
      <c r="G257" s="8"/>
      <c r="H257" s="8"/>
      <c r="I257" s="10"/>
      <c r="J257" s="10"/>
      <c r="K257" s="9"/>
      <c r="L257" s="9"/>
      <c r="M257" s="9"/>
      <c r="N25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7" s="660"/>
      <c r="P257" s="660"/>
      <c r="Q257" s="461"/>
      <c r="R257" s="381"/>
      <c r="S257" s="37"/>
      <c r="T257" s="37"/>
      <c r="U257" s="37"/>
      <c r="V257" s="37"/>
      <c r="W257" s="37"/>
      <c r="X257" s="37"/>
      <c r="Y25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7" s="37"/>
      <c r="AA257" s="662" t="str">
        <f>IF(COUNTA(CCTSAS[[#This Row],[Nom]:[heures annuelles
selon contrat(s)]])=0,"",CCTSAS[[#This Row],[Total global]]-ABS(CCTSAS[[#This Row],[Dont non opposable]]))</f>
        <v/>
      </c>
      <c r="AB257" s="8"/>
      <c r="AC257" s="63"/>
      <c r="AD257" s="428"/>
      <c r="AE257" s="428"/>
      <c r="AF257" s="428"/>
      <c r="AG257" s="43"/>
      <c r="AH257" s="183" t="str">
        <f>IF(COUNTA(CCTSAS[[#This Row],[Nom]:[heures annuelles
selon contrat(s)]])=0,"",REVEX!$E$9)</f>
        <v/>
      </c>
      <c r="AI257" s="72" t="str">
        <f>IF(CCTSAS[[#This Row],[Allocation fonctions]]="","",IF(ISNA(VLOOKUP(CCTSAS[[#This Row],[Allocation fonctions]],DROPDOWN[Dropdown82],1,FALSE))=TRUE,"Veuillez utiliser les allocations parmis la liste déroulante.",""))</f>
        <v/>
      </c>
    </row>
    <row r="258" spans="1:35" x14ac:dyDescent="0.25">
      <c r="A258" s="72" t="str">
        <f>IF(CCTSAS[[#This Row],[Carrière]]="","",IF(ISNA(VLOOKUP(CCTSAS[[#This Row],[Carrière]],DROPDOWN[Dropdown9],1,FALSE))=TRUE,"Carrière: Utiliser la liste déroulante",""))</f>
        <v/>
      </c>
      <c r="B258" s="554" t="str">
        <f>IF(CCTSAS[[#This Row],[Matricule]]="","",MAX($B$7:B257)+1)</f>
        <v/>
      </c>
      <c r="C258" s="8"/>
      <c r="D258" s="8"/>
      <c r="E258" s="20"/>
      <c r="F258" s="63"/>
      <c r="G258" s="8"/>
      <c r="H258" s="8"/>
      <c r="I258" s="10"/>
      <c r="J258" s="10"/>
      <c r="K258" s="9"/>
      <c r="L258" s="9"/>
      <c r="M258" s="9"/>
      <c r="N25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8" s="660"/>
      <c r="P258" s="660"/>
      <c r="Q258" s="461"/>
      <c r="R258" s="381"/>
      <c r="S258" s="37"/>
      <c r="T258" s="37"/>
      <c r="U258" s="37"/>
      <c r="V258" s="37"/>
      <c r="W258" s="37"/>
      <c r="X258" s="37"/>
      <c r="Y25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8" s="37"/>
      <c r="AA258" s="662" t="str">
        <f>IF(COUNTA(CCTSAS[[#This Row],[Nom]:[heures annuelles
selon contrat(s)]])=0,"",CCTSAS[[#This Row],[Total global]]-ABS(CCTSAS[[#This Row],[Dont non opposable]]))</f>
        <v/>
      </c>
      <c r="AB258" s="8"/>
      <c r="AC258" s="63"/>
      <c r="AD258" s="428"/>
      <c r="AE258" s="428"/>
      <c r="AF258" s="428"/>
      <c r="AG258" s="43"/>
      <c r="AH258" s="183" t="str">
        <f>IF(COUNTA(CCTSAS[[#This Row],[Nom]:[heures annuelles
selon contrat(s)]])=0,"",REVEX!$E$9)</f>
        <v/>
      </c>
      <c r="AI258" s="72" t="str">
        <f>IF(CCTSAS[[#This Row],[Allocation fonctions]]="","",IF(ISNA(VLOOKUP(CCTSAS[[#This Row],[Allocation fonctions]],DROPDOWN[Dropdown82],1,FALSE))=TRUE,"Veuillez utiliser les allocations parmis la liste déroulante.",""))</f>
        <v/>
      </c>
    </row>
    <row r="259" spans="1:35" x14ac:dyDescent="0.25">
      <c r="A259" s="72" t="str">
        <f>IF(CCTSAS[[#This Row],[Carrière]]="","",IF(ISNA(VLOOKUP(CCTSAS[[#This Row],[Carrière]],DROPDOWN[Dropdown9],1,FALSE))=TRUE,"Carrière: Utiliser la liste déroulante",""))</f>
        <v/>
      </c>
      <c r="B259" s="554" t="str">
        <f>IF(CCTSAS[[#This Row],[Matricule]]="","",MAX($B$7:B258)+1)</f>
        <v/>
      </c>
      <c r="C259" s="8"/>
      <c r="D259" s="8"/>
      <c r="E259" s="20"/>
      <c r="F259" s="63"/>
      <c r="G259" s="8"/>
      <c r="H259" s="8"/>
      <c r="I259" s="10"/>
      <c r="J259" s="10"/>
      <c r="K259" s="9"/>
      <c r="L259" s="9"/>
      <c r="M259" s="9"/>
      <c r="N25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59" s="660"/>
      <c r="P259" s="660"/>
      <c r="Q259" s="461"/>
      <c r="R259" s="381"/>
      <c r="S259" s="37"/>
      <c r="T259" s="37"/>
      <c r="U259" s="37"/>
      <c r="V259" s="37"/>
      <c r="W259" s="37"/>
      <c r="X259" s="37"/>
      <c r="Y25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59" s="37"/>
      <c r="AA259" s="662" t="str">
        <f>IF(COUNTA(CCTSAS[[#This Row],[Nom]:[heures annuelles
selon contrat(s)]])=0,"",CCTSAS[[#This Row],[Total global]]-ABS(CCTSAS[[#This Row],[Dont non opposable]]))</f>
        <v/>
      </c>
      <c r="AB259" s="8"/>
      <c r="AC259" s="63"/>
      <c r="AD259" s="428"/>
      <c r="AE259" s="428"/>
      <c r="AF259" s="428"/>
      <c r="AG259" s="43"/>
      <c r="AH259" s="183" t="str">
        <f>IF(COUNTA(CCTSAS[[#This Row],[Nom]:[heures annuelles
selon contrat(s)]])=0,"",REVEX!$E$9)</f>
        <v/>
      </c>
      <c r="AI259" s="72" t="str">
        <f>IF(CCTSAS[[#This Row],[Allocation fonctions]]="","",IF(ISNA(VLOOKUP(CCTSAS[[#This Row],[Allocation fonctions]],DROPDOWN[Dropdown82],1,FALSE))=TRUE,"Veuillez utiliser les allocations parmis la liste déroulante.",""))</f>
        <v/>
      </c>
    </row>
    <row r="260" spans="1:35" x14ac:dyDescent="0.25">
      <c r="A260" s="72" t="str">
        <f>IF(CCTSAS[[#This Row],[Carrière]]="","",IF(ISNA(VLOOKUP(CCTSAS[[#This Row],[Carrière]],DROPDOWN[Dropdown9],1,FALSE))=TRUE,"Carrière: Utiliser la liste déroulante",""))</f>
        <v/>
      </c>
      <c r="B260" s="554" t="str">
        <f>IF(CCTSAS[[#This Row],[Matricule]]="","",MAX($B$7:B259)+1)</f>
        <v/>
      </c>
      <c r="C260" s="8"/>
      <c r="D260" s="8"/>
      <c r="E260" s="20"/>
      <c r="F260" s="63"/>
      <c r="G260" s="8"/>
      <c r="H260" s="8"/>
      <c r="I260" s="10"/>
      <c r="J260" s="10"/>
      <c r="K260" s="9"/>
      <c r="L260" s="9"/>
      <c r="M260" s="9"/>
      <c r="N26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0" s="660"/>
      <c r="P260" s="660"/>
      <c r="Q260" s="461"/>
      <c r="R260" s="381"/>
      <c r="S260" s="37"/>
      <c r="T260" s="37"/>
      <c r="U260" s="37"/>
      <c r="V260" s="37"/>
      <c r="W260" s="37"/>
      <c r="X260" s="37"/>
      <c r="Y26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0" s="37"/>
      <c r="AA260" s="662" t="str">
        <f>IF(COUNTA(CCTSAS[[#This Row],[Nom]:[heures annuelles
selon contrat(s)]])=0,"",CCTSAS[[#This Row],[Total global]]-ABS(CCTSAS[[#This Row],[Dont non opposable]]))</f>
        <v/>
      </c>
      <c r="AB260" s="8"/>
      <c r="AC260" s="63"/>
      <c r="AD260" s="428"/>
      <c r="AE260" s="428"/>
      <c r="AF260" s="428"/>
      <c r="AG260" s="43"/>
      <c r="AH260" s="183" t="str">
        <f>IF(COUNTA(CCTSAS[[#This Row],[Nom]:[heures annuelles
selon contrat(s)]])=0,"",REVEX!$E$9)</f>
        <v/>
      </c>
      <c r="AI260" s="72" t="str">
        <f>IF(CCTSAS[[#This Row],[Allocation fonctions]]="","",IF(ISNA(VLOOKUP(CCTSAS[[#This Row],[Allocation fonctions]],DROPDOWN[Dropdown82],1,FALSE))=TRUE,"Veuillez utiliser les allocations parmis la liste déroulante.",""))</f>
        <v/>
      </c>
    </row>
    <row r="261" spans="1:35" x14ac:dyDescent="0.25">
      <c r="A261" s="72" t="str">
        <f>IF(CCTSAS[[#This Row],[Carrière]]="","",IF(ISNA(VLOOKUP(CCTSAS[[#This Row],[Carrière]],DROPDOWN[Dropdown9],1,FALSE))=TRUE,"Carrière: Utiliser la liste déroulante",""))</f>
        <v/>
      </c>
      <c r="B261" s="554" t="str">
        <f>IF(CCTSAS[[#This Row],[Matricule]]="","",MAX($B$7:B260)+1)</f>
        <v/>
      </c>
      <c r="C261" s="8"/>
      <c r="D261" s="8"/>
      <c r="E261" s="20"/>
      <c r="F261" s="63"/>
      <c r="G261" s="8"/>
      <c r="H261" s="8"/>
      <c r="I261" s="10"/>
      <c r="J261" s="10"/>
      <c r="K261" s="9"/>
      <c r="L261" s="9"/>
      <c r="M261" s="9"/>
      <c r="N26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1" s="660"/>
      <c r="P261" s="660"/>
      <c r="Q261" s="461"/>
      <c r="R261" s="381"/>
      <c r="S261" s="37"/>
      <c r="T261" s="37"/>
      <c r="U261" s="37"/>
      <c r="V261" s="37"/>
      <c r="W261" s="37"/>
      <c r="X261" s="37"/>
      <c r="Y26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1" s="37"/>
      <c r="AA261" s="662" t="str">
        <f>IF(COUNTA(CCTSAS[[#This Row],[Nom]:[heures annuelles
selon contrat(s)]])=0,"",CCTSAS[[#This Row],[Total global]]-ABS(CCTSAS[[#This Row],[Dont non opposable]]))</f>
        <v/>
      </c>
      <c r="AB261" s="8"/>
      <c r="AC261" s="63"/>
      <c r="AD261" s="428"/>
      <c r="AE261" s="428"/>
      <c r="AF261" s="428"/>
      <c r="AG261" s="43"/>
      <c r="AH261" s="183" t="str">
        <f>IF(COUNTA(CCTSAS[[#This Row],[Nom]:[heures annuelles
selon contrat(s)]])=0,"",REVEX!$E$9)</f>
        <v/>
      </c>
      <c r="AI261" s="72" t="str">
        <f>IF(CCTSAS[[#This Row],[Allocation fonctions]]="","",IF(ISNA(VLOOKUP(CCTSAS[[#This Row],[Allocation fonctions]],DROPDOWN[Dropdown82],1,FALSE))=TRUE,"Veuillez utiliser les allocations parmis la liste déroulante.",""))</f>
        <v/>
      </c>
    </row>
    <row r="262" spans="1:35" x14ac:dyDescent="0.25">
      <c r="A262" s="72" t="str">
        <f>IF(CCTSAS[[#This Row],[Carrière]]="","",IF(ISNA(VLOOKUP(CCTSAS[[#This Row],[Carrière]],DROPDOWN[Dropdown9],1,FALSE))=TRUE,"Carrière: Utiliser la liste déroulante",""))</f>
        <v/>
      </c>
      <c r="B262" s="554" t="str">
        <f>IF(CCTSAS[[#This Row],[Matricule]]="","",MAX($B$7:B261)+1)</f>
        <v/>
      </c>
      <c r="C262" s="8"/>
      <c r="D262" s="8"/>
      <c r="E262" s="20"/>
      <c r="F262" s="63"/>
      <c r="G262" s="8"/>
      <c r="H262" s="8"/>
      <c r="I262" s="10"/>
      <c r="J262" s="10"/>
      <c r="K262" s="9"/>
      <c r="L262" s="9"/>
      <c r="M262" s="9"/>
      <c r="N26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2" s="660"/>
      <c r="P262" s="660"/>
      <c r="Q262" s="461"/>
      <c r="R262" s="381"/>
      <c r="S262" s="37"/>
      <c r="T262" s="37"/>
      <c r="U262" s="37"/>
      <c r="V262" s="37"/>
      <c r="W262" s="37"/>
      <c r="X262" s="37"/>
      <c r="Y26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2" s="37"/>
      <c r="AA262" s="662" t="str">
        <f>IF(COUNTA(CCTSAS[[#This Row],[Nom]:[heures annuelles
selon contrat(s)]])=0,"",CCTSAS[[#This Row],[Total global]]-ABS(CCTSAS[[#This Row],[Dont non opposable]]))</f>
        <v/>
      </c>
      <c r="AB262" s="8"/>
      <c r="AC262" s="63"/>
      <c r="AD262" s="428"/>
      <c r="AE262" s="428"/>
      <c r="AF262" s="428"/>
      <c r="AG262" s="43"/>
      <c r="AH262" s="183" t="str">
        <f>IF(COUNTA(CCTSAS[[#This Row],[Nom]:[heures annuelles
selon contrat(s)]])=0,"",REVEX!$E$9)</f>
        <v/>
      </c>
      <c r="AI262" s="72" t="str">
        <f>IF(CCTSAS[[#This Row],[Allocation fonctions]]="","",IF(ISNA(VLOOKUP(CCTSAS[[#This Row],[Allocation fonctions]],DROPDOWN[Dropdown82],1,FALSE))=TRUE,"Veuillez utiliser les allocations parmis la liste déroulante.",""))</f>
        <v/>
      </c>
    </row>
    <row r="263" spans="1:35" x14ac:dyDescent="0.25">
      <c r="A263" s="72" t="str">
        <f>IF(CCTSAS[[#This Row],[Carrière]]="","",IF(ISNA(VLOOKUP(CCTSAS[[#This Row],[Carrière]],DROPDOWN[Dropdown9],1,FALSE))=TRUE,"Carrière: Utiliser la liste déroulante",""))</f>
        <v/>
      </c>
      <c r="B263" s="554" t="str">
        <f>IF(CCTSAS[[#This Row],[Matricule]]="","",MAX($B$7:B262)+1)</f>
        <v/>
      </c>
      <c r="C263" s="8"/>
      <c r="D263" s="8"/>
      <c r="E263" s="20"/>
      <c r="F263" s="63"/>
      <c r="G263" s="8"/>
      <c r="H263" s="8"/>
      <c r="I263" s="10"/>
      <c r="J263" s="10"/>
      <c r="K263" s="9"/>
      <c r="L263" s="9"/>
      <c r="M263" s="9"/>
      <c r="N26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3" s="660"/>
      <c r="P263" s="660"/>
      <c r="Q263" s="461"/>
      <c r="R263" s="381"/>
      <c r="S263" s="37"/>
      <c r="T263" s="37"/>
      <c r="U263" s="37"/>
      <c r="V263" s="37"/>
      <c r="W263" s="37"/>
      <c r="X263" s="37"/>
      <c r="Y26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3" s="37"/>
      <c r="AA263" s="662" t="str">
        <f>IF(COUNTA(CCTSAS[[#This Row],[Nom]:[heures annuelles
selon contrat(s)]])=0,"",CCTSAS[[#This Row],[Total global]]-ABS(CCTSAS[[#This Row],[Dont non opposable]]))</f>
        <v/>
      </c>
      <c r="AB263" s="8"/>
      <c r="AC263" s="63"/>
      <c r="AD263" s="428"/>
      <c r="AE263" s="428"/>
      <c r="AF263" s="428"/>
      <c r="AG263" s="43"/>
      <c r="AH263" s="183" t="str">
        <f>IF(COUNTA(CCTSAS[[#This Row],[Nom]:[heures annuelles
selon contrat(s)]])=0,"",REVEX!$E$9)</f>
        <v/>
      </c>
      <c r="AI263" s="72" t="str">
        <f>IF(CCTSAS[[#This Row],[Allocation fonctions]]="","",IF(ISNA(VLOOKUP(CCTSAS[[#This Row],[Allocation fonctions]],DROPDOWN[Dropdown82],1,FALSE))=TRUE,"Veuillez utiliser les allocations parmis la liste déroulante.",""))</f>
        <v/>
      </c>
    </row>
    <row r="264" spans="1:35" x14ac:dyDescent="0.25">
      <c r="A264" s="72" t="str">
        <f>IF(CCTSAS[[#This Row],[Carrière]]="","",IF(ISNA(VLOOKUP(CCTSAS[[#This Row],[Carrière]],DROPDOWN[Dropdown9],1,FALSE))=TRUE,"Carrière: Utiliser la liste déroulante",""))</f>
        <v/>
      </c>
      <c r="B264" s="554" t="str">
        <f>IF(CCTSAS[[#This Row],[Matricule]]="","",MAX($B$7:B263)+1)</f>
        <v/>
      </c>
      <c r="C264" s="8"/>
      <c r="D264" s="8"/>
      <c r="E264" s="20"/>
      <c r="F264" s="63"/>
      <c r="G264" s="8"/>
      <c r="H264" s="8"/>
      <c r="I264" s="10"/>
      <c r="J264" s="10"/>
      <c r="K264" s="9"/>
      <c r="L264" s="9"/>
      <c r="M264" s="9"/>
      <c r="N26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4" s="660"/>
      <c r="P264" s="660"/>
      <c r="Q264" s="461"/>
      <c r="R264" s="381"/>
      <c r="S264" s="37"/>
      <c r="T264" s="37"/>
      <c r="U264" s="37"/>
      <c r="V264" s="37"/>
      <c r="W264" s="37"/>
      <c r="X264" s="37"/>
      <c r="Y26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4" s="37"/>
      <c r="AA264" s="662" t="str">
        <f>IF(COUNTA(CCTSAS[[#This Row],[Nom]:[heures annuelles
selon contrat(s)]])=0,"",CCTSAS[[#This Row],[Total global]]-ABS(CCTSAS[[#This Row],[Dont non opposable]]))</f>
        <v/>
      </c>
      <c r="AB264" s="8"/>
      <c r="AC264" s="63"/>
      <c r="AD264" s="428"/>
      <c r="AE264" s="428"/>
      <c r="AF264" s="428"/>
      <c r="AG264" s="43"/>
      <c r="AH264" s="183" t="str">
        <f>IF(COUNTA(CCTSAS[[#This Row],[Nom]:[heures annuelles
selon contrat(s)]])=0,"",REVEX!$E$9)</f>
        <v/>
      </c>
      <c r="AI264" s="72" t="str">
        <f>IF(CCTSAS[[#This Row],[Allocation fonctions]]="","",IF(ISNA(VLOOKUP(CCTSAS[[#This Row],[Allocation fonctions]],DROPDOWN[Dropdown82],1,FALSE))=TRUE,"Veuillez utiliser les allocations parmis la liste déroulante.",""))</f>
        <v/>
      </c>
    </row>
    <row r="265" spans="1:35" x14ac:dyDescent="0.25">
      <c r="A265" s="72" t="str">
        <f>IF(CCTSAS[[#This Row],[Carrière]]="","",IF(ISNA(VLOOKUP(CCTSAS[[#This Row],[Carrière]],DROPDOWN[Dropdown9],1,FALSE))=TRUE,"Carrière: Utiliser la liste déroulante",""))</f>
        <v/>
      </c>
      <c r="B265" s="554" t="str">
        <f>IF(CCTSAS[[#This Row],[Matricule]]="","",MAX($B$7:B264)+1)</f>
        <v/>
      </c>
      <c r="C265" s="8"/>
      <c r="D265" s="8"/>
      <c r="E265" s="20"/>
      <c r="F265" s="63"/>
      <c r="G265" s="8"/>
      <c r="H265" s="8"/>
      <c r="I265" s="10"/>
      <c r="J265" s="10"/>
      <c r="K265" s="9"/>
      <c r="L265" s="9"/>
      <c r="M265" s="9"/>
      <c r="N26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5" s="660"/>
      <c r="P265" s="660"/>
      <c r="Q265" s="461"/>
      <c r="R265" s="381"/>
      <c r="S265" s="37"/>
      <c r="T265" s="37"/>
      <c r="U265" s="37"/>
      <c r="V265" s="37"/>
      <c r="W265" s="37"/>
      <c r="X265" s="37"/>
      <c r="Y26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5" s="37"/>
      <c r="AA265" s="662" t="str">
        <f>IF(COUNTA(CCTSAS[[#This Row],[Nom]:[heures annuelles
selon contrat(s)]])=0,"",CCTSAS[[#This Row],[Total global]]-ABS(CCTSAS[[#This Row],[Dont non opposable]]))</f>
        <v/>
      </c>
      <c r="AB265" s="8"/>
      <c r="AC265" s="63"/>
      <c r="AD265" s="428"/>
      <c r="AE265" s="428"/>
      <c r="AF265" s="428"/>
      <c r="AG265" s="43"/>
      <c r="AH265" s="183" t="str">
        <f>IF(COUNTA(CCTSAS[[#This Row],[Nom]:[heures annuelles
selon contrat(s)]])=0,"",REVEX!$E$9)</f>
        <v/>
      </c>
      <c r="AI265" s="72" t="str">
        <f>IF(CCTSAS[[#This Row],[Allocation fonctions]]="","",IF(ISNA(VLOOKUP(CCTSAS[[#This Row],[Allocation fonctions]],DROPDOWN[Dropdown82],1,FALSE))=TRUE,"Veuillez utiliser les allocations parmis la liste déroulante.",""))</f>
        <v/>
      </c>
    </row>
    <row r="266" spans="1:35" x14ac:dyDescent="0.25">
      <c r="A266" s="72" t="str">
        <f>IF(CCTSAS[[#This Row],[Carrière]]="","",IF(ISNA(VLOOKUP(CCTSAS[[#This Row],[Carrière]],DROPDOWN[Dropdown9],1,FALSE))=TRUE,"Carrière: Utiliser la liste déroulante",""))</f>
        <v/>
      </c>
      <c r="B266" s="554" t="str">
        <f>IF(CCTSAS[[#This Row],[Matricule]]="","",MAX($B$7:B265)+1)</f>
        <v/>
      </c>
      <c r="C266" s="8"/>
      <c r="D266" s="8"/>
      <c r="E266" s="20"/>
      <c r="F266" s="63"/>
      <c r="G266" s="8"/>
      <c r="H266" s="8"/>
      <c r="I266" s="10"/>
      <c r="J266" s="10"/>
      <c r="K266" s="9"/>
      <c r="L266" s="9"/>
      <c r="M266" s="9"/>
      <c r="N26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6" s="660"/>
      <c r="P266" s="660"/>
      <c r="Q266" s="461"/>
      <c r="R266" s="381"/>
      <c r="S266" s="37"/>
      <c r="T266" s="37"/>
      <c r="U266" s="37"/>
      <c r="V266" s="37"/>
      <c r="W266" s="37"/>
      <c r="X266" s="37"/>
      <c r="Y26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6" s="37"/>
      <c r="AA266" s="662" t="str">
        <f>IF(COUNTA(CCTSAS[[#This Row],[Nom]:[heures annuelles
selon contrat(s)]])=0,"",CCTSAS[[#This Row],[Total global]]-ABS(CCTSAS[[#This Row],[Dont non opposable]]))</f>
        <v/>
      </c>
      <c r="AB266" s="8"/>
      <c r="AC266" s="63"/>
      <c r="AD266" s="428"/>
      <c r="AE266" s="428"/>
      <c r="AF266" s="428"/>
      <c r="AG266" s="43"/>
      <c r="AH266" s="183" t="str">
        <f>IF(COUNTA(CCTSAS[[#This Row],[Nom]:[heures annuelles
selon contrat(s)]])=0,"",REVEX!$E$9)</f>
        <v/>
      </c>
      <c r="AI266" s="72" t="str">
        <f>IF(CCTSAS[[#This Row],[Allocation fonctions]]="","",IF(ISNA(VLOOKUP(CCTSAS[[#This Row],[Allocation fonctions]],DROPDOWN[Dropdown82],1,FALSE))=TRUE,"Veuillez utiliser les allocations parmis la liste déroulante.",""))</f>
        <v/>
      </c>
    </row>
    <row r="267" spans="1:35" x14ac:dyDescent="0.25">
      <c r="A267" s="72" t="str">
        <f>IF(CCTSAS[[#This Row],[Carrière]]="","",IF(ISNA(VLOOKUP(CCTSAS[[#This Row],[Carrière]],DROPDOWN[Dropdown9],1,FALSE))=TRUE,"Carrière: Utiliser la liste déroulante",""))</f>
        <v/>
      </c>
      <c r="B267" s="554" t="str">
        <f>IF(CCTSAS[[#This Row],[Matricule]]="","",MAX($B$7:B266)+1)</f>
        <v/>
      </c>
      <c r="C267" s="8"/>
      <c r="D267" s="8"/>
      <c r="E267" s="20"/>
      <c r="F267" s="63"/>
      <c r="G267" s="8"/>
      <c r="H267" s="8"/>
      <c r="I267" s="10"/>
      <c r="J267" s="10"/>
      <c r="K267" s="9"/>
      <c r="L267" s="9"/>
      <c r="M267" s="9"/>
      <c r="N26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7" s="660"/>
      <c r="P267" s="660"/>
      <c r="Q267" s="461"/>
      <c r="R267" s="381"/>
      <c r="S267" s="37"/>
      <c r="T267" s="37"/>
      <c r="U267" s="37"/>
      <c r="V267" s="37"/>
      <c r="W267" s="37"/>
      <c r="X267" s="37"/>
      <c r="Y26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7" s="37"/>
      <c r="AA267" s="662" t="str">
        <f>IF(COUNTA(CCTSAS[[#This Row],[Nom]:[heures annuelles
selon contrat(s)]])=0,"",CCTSAS[[#This Row],[Total global]]-ABS(CCTSAS[[#This Row],[Dont non opposable]]))</f>
        <v/>
      </c>
      <c r="AB267" s="8"/>
      <c r="AC267" s="63"/>
      <c r="AD267" s="428"/>
      <c r="AE267" s="428"/>
      <c r="AF267" s="428"/>
      <c r="AG267" s="43"/>
      <c r="AH267" s="183" t="str">
        <f>IF(COUNTA(CCTSAS[[#This Row],[Nom]:[heures annuelles
selon contrat(s)]])=0,"",REVEX!$E$9)</f>
        <v/>
      </c>
      <c r="AI267" s="72" t="str">
        <f>IF(CCTSAS[[#This Row],[Allocation fonctions]]="","",IF(ISNA(VLOOKUP(CCTSAS[[#This Row],[Allocation fonctions]],DROPDOWN[Dropdown82],1,FALSE))=TRUE,"Veuillez utiliser les allocations parmis la liste déroulante.",""))</f>
        <v/>
      </c>
    </row>
    <row r="268" spans="1:35" x14ac:dyDescent="0.25">
      <c r="A268" s="72" t="str">
        <f>IF(CCTSAS[[#This Row],[Carrière]]="","",IF(ISNA(VLOOKUP(CCTSAS[[#This Row],[Carrière]],DROPDOWN[Dropdown9],1,FALSE))=TRUE,"Carrière: Utiliser la liste déroulante",""))</f>
        <v/>
      </c>
      <c r="B268" s="554" t="str">
        <f>IF(CCTSAS[[#This Row],[Matricule]]="","",MAX($B$7:B267)+1)</f>
        <v/>
      </c>
      <c r="C268" s="8"/>
      <c r="D268" s="8"/>
      <c r="E268" s="20"/>
      <c r="F268" s="63"/>
      <c r="G268" s="8"/>
      <c r="H268" s="8"/>
      <c r="I268" s="10"/>
      <c r="J268" s="10"/>
      <c r="K268" s="9"/>
      <c r="L268" s="9"/>
      <c r="M268" s="9"/>
      <c r="N26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8" s="660"/>
      <c r="P268" s="660"/>
      <c r="Q268" s="461"/>
      <c r="R268" s="381"/>
      <c r="S268" s="37"/>
      <c r="T268" s="37"/>
      <c r="U268" s="37"/>
      <c r="V268" s="37"/>
      <c r="W268" s="37"/>
      <c r="X268" s="37"/>
      <c r="Y26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8" s="37"/>
      <c r="AA268" s="662" t="str">
        <f>IF(COUNTA(CCTSAS[[#This Row],[Nom]:[heures annuelles
selon contrat(s)]])=0,"",CCTSAS[[#This Row],[Total global]]-ABS(CCTSAS[[#This Row],[Dont non opposable]]))</f>
        <v/>
      </c>
      <c r="AB268" s="8"/>
      <c r="AC268" s="63"/>
      <c r="AD268" s="428"/>
      <c r="AE268" s="428"/>
      <c r="AF268" s="428"/>
      <c r="AG268" s="43"/>
      <c r="AH268" s="183" t="str">
        <f>IF(COUNTA(CCTSAS[[#This Row],[Nom]:[heures annuelles
selon contrat(s)]])=0,"",REVEX!$E$9)</f>
        <v/>
      </c>
      <c r="AI268" s="72" t="str">
        <f>IF(CCTSAS[[#This Row],[Allocation fonctions]]="","",IF(ISNA(VLOOKUP(CCTSAS[[#This Row],[Allocation fonctions]],DROPDOWN[Dropdown82],1,FALSE))=TRUE,"Veuillez utiliser les allocations parmis la liste déroulante.",""))</f>
        <v/>
      </c>
    </row>
    <row r="269" spans="1:35" x14ac:dyDescent="0.25">
      <c r="A269" s="72" t="str">
        <f>IF(CCTSAS[[#This Row],[Carrière]]="","",IF(ISNA(VLOOKUP(CCTSAS[[#This Row],[Carrière]],DROPDOWN[Dropdown9],1,FALSE))=TRUE,"Carrière: Utiliser la liste déroulante",""))</f>
        <v/>
      </c>
      <c r="B269" s="554" t="str">
        <f>IF(CCTSAS[[#This Row],[Matricule]]="","",MAX($B$7:B268)+1)</f>
        <v/>
      </c>
      <c r="C269" s="8"/>
      <c r="D269" s="8"/>
      <c r="E269" s="20"/>
      <c r="F269" s="63"/>
      <c r="G269" s="8"/>
      <c r="H269" s="8"/>
      <c r="I269" s="10"/>
      <c r="J269" s="10"/>
      <c r="K269" s="9"/>
      <c r="L269" s="9"/>
      <c r="M269" s="9"/>
      <c r="N26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69" s="660"/>
      <c r="P269" s="660"/>
      <c r="Q269" s="461"/>
      <c r="R269" s="381"/>
      <c r="S269" s="37"/>
      <c r="T269" s="37"/>
      <c r="U269" s="37"/>
      <c r="V269" s="37"/>
      <c r="W269" s="37"/>
      <c r="X269" s="37"/>
      <c r="Y26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69" s="37"/>
      <c r="AA269" s="662" t="str">
        <f>IF(COUNTA(CCTSAS[[#This Row],[Nom]:[heures annuelles
selon contrat(s)]])=0,"",CCTSAS[[#This Row],[Total global]]-ABS(CCTSAS[[#This Row],[Dont non opposable]]))</f>
        <v/>
      </c>
      <c r="AB269" s="8"/>
      <c r="AC269" s="63"/>
      <c r="AD269" s="428"/>
      <c r="AE269" s="428"/>
      <c r="AF269" s="428"/>
      <c r="AG269" s="43"/>
      <c r="AH269" s="183" t="str">
        <f>IF(COUNTA(CCTSAS[[#This Row],[Nom]:[heures annuelles
selon contrat(s)]])=0,"",REVEX!$E$9)</f>
        <v/>
      </c>
      <c r="AI269" s="72" t="str">
        <f>IF(CCTSAS[[#This Row],[Allocation fonctions]]="","",IF(ISNA(VLOOKUP(CCTSAS[[#This Row],[Allocation fonctions]],DROPDOWN[Dropdown82],1,FALSE))=TRUE,"Veuillez utiliser les allocations parmis la liste déroulante.",""))</f>
        <v/>
      </c>
    </row>
    <row r="270" spans="1:35" x14ac:dyDescent="0.25">
      <c r="A270" s="72" t="str">
        <f>IF(CCTSAS[[#This Row],[Carrière]]="","",IF(ISNA(VLOOKUP(CCTSAS[[#This Row],[Carrière]],DROPDOWN[Dropdown9],1,FALSE))=TRUE,"Carrière: Utiliser la liste déroulante",""))</f>
        <v/>
      </c>
      <c r="B270" s="554" t="str">
        <f>IF(CCTSAS[[#This Row],[Matricule]]="","",MAX($B$7:B269)+1)</f>
        <v/>
      </c>
      <c r="C270" s="8"/>
      <c r="D270" s="8"/>
      <c r="E270" s="20"/>
      <c r="F270" s="63"/>
      <c r="G270" s="8"/>
      <c r="H270" s="8"/>
      <c r="I270" s="10"/>
      <c r="J270" s="10"/>
      <c r="K270" s="9"/>
      <c r="L270" s="9"/>
      <c r="M270" s="9"/>
      <c r="N27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0" s="660"/>
      <c r="P270" s="660"/>
      <c r="Q270" s="461"/>
      <c r="R270" s="381"/>
      <c r="S270" s="37"/>
      <c r="T270" s="37"/>
      <c r="U270" s="37"/>
      <c r="V270" s="37"/>
      <c r="W270" s="37"/>
      <c r="X270" s="37"/>
      <c r="Y27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0" s="37"/>
      <c r="AA270" s="662" t="str">
        <f>IF(COUNTA(CCTSAS[[#This Row],[Nom]:[heures annuelles
selon contrat(s)]])=0,"",CCTSAS[[#This Row],[Total global]]-ABS(CCTSAS[[#This Row],[Dont non opposable]]))</f>
        <v/>
      </c>
      <c r="AB270" s="8"/>
      <c r="AC270" s="63"/>
      <c r="AD270" s="428"/>
      <c r="AE270" s="428"/>
      <c r="AF270" s="428"/>
      <c r="AG270" s="43"/>
      <c r="AH270" s="183" t="str">
        <f>IF(COUNTA(CCTSAS[[#This Row],[Nom]:[heures annuelles
selon contrat(s)]])=0,"",REVEX!$E$9)</f>
        <v/>
      </c>
      <c r="AI270" s="72" t="str">
        <f>IF(CCTSAS[[#This Row],[Allocation fonctions]]="","",IF(ISNA(VLOOKUP(CCTSAS[[#This Row],[Allocation fonctions]],DROPDOWN[Dropdown82],1,FALSE))=TRUE,"Veuillez utiliser les allocations parmis la liste déroulante.",""))</f>
        <v/>
      </c>
    </row>
    <row r="271" spans="1:35" x14ac:dyDescent="0.25">
      <c r="A271" s="72" t="str">
        <f>IF(CCTSAS[[#This Row],[Carrière]]="","",IF(ISNA(VLOOKUP(CCTSAS[[#This Row],[Carrière]],DROPDOWN[Dropdown9],1,FALSE))=TRUE,"Carrière: Utiliser la liste déroulante",""))</f>
        <v/>
      </c>
      <c r="B271" s="554" t="str">
        <f>IF(CCTSAS[[#This Row],[Matricule]]="","",MAX($B$7:B270)+1)</f>
        <v/>
      </c>
      <c r="C271" s="8"/>
      <c r="D271" s="8"/>
      <c r="E271" s="20"/>
      <c r="F271" s="63"/>
      <c r="G271" s="8"/>
      <c r="H271" s="8"/>
      <c r="I271" s="10"/>
      <c r="J271" s="10"/>
      <c r="K271" s="9"/>
      <c r="L271" s="9"/>
      <c r="M271" s="9"/>
      <c r="N27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1" s="660"/>
      <c r="P271" s="660"/>
      <c r="Q271" s="461"/>
      <c r="R271" s="381"/>
      <c r="S271" s="37"/>
      <c r="T271" s="37"/>
      <c r="U271" s="37"/>
      <c r="V271" s="37"/>
      <c r="W271" s="37"/>
      <c r="X271" s="37"/>
      <c r="Y27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1" s="37"/>
      <c r="AA271" s="662" t="str">
        <f>IF(COUNTA(CCTSAS[[#This Row],[Nom]:[heures annuelles
selon contrat(s)]])=0,"",CCTSAS[[#This Row],[Total global]]-ABS(CCTSAS[[#This Row],[Dont non opposable]]))</f>
        <v/>
      </c>
      <c r="AB271" s="8"/>
      <c r="AC271" s="63"/>
      <c r="AD271" s="428"/>
      <c r="AE271" s="428"/>
      <c r="AF271" s="428"/>
      <c r="AG271" s="43"/>
      <c r="AH271" s="183" t="str">
        <f>IF(COUNTA(CCTSAS[[#This Row],[Nom]:[heures annuelles
selon contrat(s)]])=0,"",REVEX!$E$9)</f>
        <v/>
      </c>
      <c r="AI271" s="72" t="str">
        <f>IF(CCTSAS[[#This Row],[Allocation fonctions]]="","",IF(ISNA(VLOOKUP(CCTSAS[[#This Row],[Allocation fonctions]],DROPDOWN[Dropdown82],1,FALSE))=TRUE,"Veuillez utiliser les allocations parmis la liste déroulante.",""))</f>
        <v/>
      </c>
    </row>
    <row r="272" spans="1:35" x14ac:dyDescent="0.25">
      <c r="A272" s="72" t="str">
        <f>IF(CCTSAS[[#This Row],[Carrière]]="","",IF(ISNA(VLOOKUP(CCTSAS[[#This Row],[Carrière]],DROPDOWN[Dropdown9],1,FALSE))=TRUE,"Carrière: Utiliser la liste déroulante",""))</f>
        <v/>
      </c>
      <c r="B272" s="554" t="str">
        <f>IF(CCTSAS[[#This Row],[Matricule]]="","",MAX($B$7:B271)+1)</f>
        <v/>
      </c>
      <c r="C272" s="8"/>
      <c r="D272" s="8"/>
      <c r="E272" s="20"/>
      <c r="F272" s="63"/>
      <c r="G272" s="8"/>
      <c r="H272" s="8"/>
      <c r="I272" s="10"/>
      <c r="J272" s="10"/>
      <c r="K272" s="9"/>
      <c r="L272" s="9"/>
      <c r="M272" s="9"/>
      <c r="N27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2" s="660"/>
      <c r="P272" s="660"/>
      <c r="Q272" s="461"/>
      <c r="R272" s="381"/>
      <c r="S272" s="37"/>
      <c r="T272" s="37"/>
      <c r="U272" s="37"/>
      <c r="V272" s="37"/>
      <c r="W272" s="37"/>
      <c r="X272" s="37"/>
      <c r="Y27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2" s="37"/>
      <c r="AA272" s="662" t="str">
        <f>IF(COUNTA(CCTSAS[[#This Row],[Nom]:[heures annuelles
selon contrat(s)]])=0,"",CCTSAS[[#This Row],[Total global]]-ABS(CCTSAS[[#This Row],[Dont non opposable]]))</f>
        <v/>
      </c>
      <c r="AB272" s="8"/>
      <c r="AC272" s="63"/>
      <c r="AD272" s="428"/>
      <c r="AE272" s="428"/>
      <c r="AF272" s="428"/>
      <c r="AG272" s="43"/>
      <c r="AH272" s="183" t="str">
        <f>IF(COUNTA(CCTSAS[[#This Row],[Nom]:[heures annuelles
selon contrat(s)]])=0,"",REVEX!$E$9)</f>
        <v/>
      </c>
      <c r="AI272" s="72" t="str">
        <f>IF(CCTSAS[[#This Row],[Allocation fonctions]]="","",IF(ISNA(VLOOKUP(CCTSAS[[#This Row],[Allocation fonctions]],DROPDOWN[Dropdown82],1,FALSE))=TRUE,"Veuillez utiliser les allocations parmis la liste déroulante.",""))</f>
        <v/>
      </c>
    </row>
    <row r="273" spans="1:35" x14ac:dyDescent="0.25">
      <c r="A273" s="72" t="str">
        <f>IF(CCTSAS[[#This Row],[Carrière]]="","",IF(ISNA(VLOOKUP(CCTSAS[[#This Row],[Carrière]],DROPDOWN[Dropdown9],1,FALSE))=TRUE,"Carrière: Utiliser la liste déroulante",""))</f>
        <v/>
      </c>
      <c r="B273" s="554" t="str">
        <f>IF(CCTSAS[[#This Row],[Matricule]]="","",MAX($B$7:B272)+1)</f>
        <v/>
      </c>
      <c r="C273" s="8"/>
      <c r="D273" s="8"/>
      <c r="E273" s="20"/>
      <c r="F273" s="63"/>
      <c r="G273" s="8"/>
      <c r="H273" s="8"/>
      <c r="I273" s="10"/>
      <c r="J273" s="10"/>
      <c r="K273" s="9"/>
      <c r="L273" s="9"/>
      <c r="M273" s="9"/>
      <c r="N27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3" s="660"/>
      <c r="P273" s="660"/>
      <c r="Q273" s="461"/>
      <c r="R273" s="381"/>
      <c r="S273" s="37"/>
      <c r="T273" s="37"/>
      <c r="U273" s="37"/>
      <c r="V273" s="37"/>
      <c r="W273" s="37"/>
      <c r="X273" s="37"/>
      <c r="Y27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3" s="37"/>
      <c r="AA273" s="662" t="str">
        <f>IF(COUNTA(CCTSAS[[#This Row],[Nom]:[heures annuelles
selon contrat(s)]])=0,"",CCTSAS[[#This Row],[Total global]]-ABS(CCTSAS[[#This Row],[Dont non opposable]]))</f>
        <v/>
      </c>
      <c r="AB273" s="8"/>
      <c r="AC273" s="63"/>
      <c r="AD273" s="428"/>
      <c r="AE273" s="428"/>
      <c r="AF273" s="428"/>
      <c r="AG273" s="43"/>
      <c r="AH273" s="183" t="str">
        <f>IF(COUNTA(CCTSAS[[#This Row],[Nom]:[heures annuelles
selon contrat(s)]])=0,"",REVEX!$E$9)</f>
        <v/>
      </c>
      <c r="AI273" s="72" t="str">
        <f>IF(CCTSAS[[#This Row],[Allocation fonctions]]="","",IF(ISNA(VLOOKUP(CCTSAS[[#This Row],[Allocation fonctions]],DROPDOWN[Dropdown82],1,FALSE))=TRUE,"Veuillez utiliser les allocations parmis la liste déroulante.",""))</f>
        <v/>
      </c>
    </row>
    <row r="274" spans="1:35" x14ac:dyDescent="0.25">
      <c r="A274" s="72" t="str">
        <f>IF(CCTSAS[[#This Row],[Carrière]]="","",IF(ISNA(VLOOKUP(CCTSAS[[#This Row],[Carrière]],DROPDOWN[Dropdown9],1,FALSE))=TRUE,"Carrière: Utiliser la liste déroulante",""))</f>
        <v/>
      </c>
      <c r="B274" s="554" t="str">
        <f>IF(CCTSAS[[#This Row],[Matricule]]="","",MAX($B$7:B273)+1)</f>
        <v/>
      </c>
      <c r="C274" s="8"/>
      <c r="D274" s="8"/>
      <c r="E274" s="20"/>
      <c r="F274" s="63"/>
      <c r="G274" s="8"/>
      <c r="H274" s="8"/>
      <c r="I274" s="10"/>
      <c r="J274" s="10"/>
      <c r="K274" s="9"/>
      <c r="L274" s="9"/>
      <c r="M274" s="9"/>
      <c r="N27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4" s="660"/>
      <c r="P274" s="660"/>
      <c r="Q274" s="461"/>
      <c r="R274" s="381"/>
      <c r="S274" s="37"/>
      <c r="T274" s="37"/>
      <c r="U274" s="37"/>
      <c r="V274" s="37"/>
      <c r="W274" s="37"/>
      <c r="X274" s="37"/>
      <c r="Y27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4" s="37"/>
      <c r="AA274" s="662" t="str">
        <f>IF(COUNTA(CCTSAS[[#This Row],[Nom]:[heures annuelles
selon contrat(s)]])=0,"",CCTSAS[[#This Row],[Total global]]-ABS(CCTSAS[[#This Row],[Dont non opposable]]))</f>
        <v/>
      </c>
      <c r="AB274" s="8"/>
      <c r="AC274" s="63"/>
      <c r="AD274" s="428"/>
      <c r="AE274" s="428"/>
      <c r="AF274" s="428"/>
      <c r="AG274" s="43"/>
      <c r="AH274" s="183" t="str">
        <f>IF(COUNTA(CCTSAS[[#This Row],[Nom]:[heures annuelles
selon contrat(s)]])=0,"",REVEX!$E$9)</f>
        <v/>
      </c>
      <c r="AI274" s="72" t="str">
        <f>IF(CCTSAS[[#This Row],[Allocation fonctions]]="","",IF(ISNA(VLOOKUP(CCTSAS[[#This Row],[Allocation fonctions]],DROPDOWN[Dropdown82],1,FALSE))=TRUE,"Veuillez utiliser les allocations parmis la liste déroulante.",""))</f>
        <v/>
      </c>
    </row>
    <row r="275" spans="1:35" x14ac:dyDescent="0.25">
      <c r="A275" s="72" t="str">
        <f>IF(CCTSAS[[#This Row],[Carrière]]="","",IF(ISNA(VLOOKUP(CCTSAS[[#This Row],[Carrière]],DROPDOWN[Dropdown9],1,FALSE))=TRUE,"Carrière: Utiliser la liste déroulante",""))</f>
        <v/>
      </c>
      <c r="B275" s="554" t="str">
        <f>IF(CCTSAS[[#This Row],[Matricule]]="","",MAX($B$7:B274)+1)</f>
        <v/>
      </c>
      <c r="C275" s="8"/>
      <c r="D275" s="8"/>
      <c r="E275" s="20"/>
      <c r="F275" s="63"/>
      <c r="G275" s="8"/>
      <c r="H275" s="8"/>
      <c r="I275" s="10"/>
      <c r="J275" s="10"/>
      <c r="K275" s="9"/>
      <c r="L275" s="9"/>
      <c r="M275" s="9"/>
      <c r="N27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5" s="660"/>
      <c r="P275" s="660"/>
      <c r="Q275" s="461"/>
      <c r="R275" s="381"/>
      <c r="S275" s="37"/>
      <c r="T275" s="37"/>
      <c r="U275" s="37"/>
      <c r="V275" s="37"/>
      <c r="W275" s="37"/>
      <c r="X275" s="37"/>
      <c r="Y27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5" s="37"/>
      <c r="AA275" s="662" t="str">
        <f>IF(COUNTA(CCTSAS[[#This Row],[Nom]:[heures annuelles
selon contrat(s)]])=0,"",CCTSAS[[#This Row],[Total global]]-ABS(CCTSAS[[#This Row],[Dont non opposable]]))</f>
        <v/>
      </c>
      <c r="AB275" s="8"/>
      <c r="AC275" s="63"/>
      <c r="AD275" s="428"/>
      <c r="AE275" s="428"/>
      <c r="AF275" s="428"/>
      <c r="AG275" s="43"/>
      <c r="AH275" s="183" t="str">
        <f>IF(COUNTA(CCTSAS[[#This Row],[Nom]:[heures annuelles
selon contrat(s)]])=0,"",REVEX!$E$9)</f>
        <v/>
      </c>
      <c r="AI275" s="72" t="str">
        <f>IF(CCTSAS[[#This Row],[Allocation fonctions]]="","",IF(ISNA(VLOOKUP(CCTSAS[[#This Row],[Allocation fonctions]],DROPDOWN[Dropdown82],1,FALSE))=TRUE,"Veuillez utiliser les allocations parmis la liste déroulante.",""))</f>
        <v/>
      </c>
    </row>
    <row r="276" spans="1:35" x14ac:dyDescent="0.25">
      <c r="A276" s="72" t="str">
        <f>IF(CCTSAS[[#This Row],[Carrière]]="","",IF(ISNA(VLOOKUP(CCTSAS[[#This Row],[Carrière]],DROPDOWN[Dropdown9],1,FALSE))=TRUE,"Carrière: Utiliser la liste déroulante",""))</f>
        <v/>
      </c>
      <c r="B276" s="554" t="str">
        <f>IF(CCTSAS[[#This Row],[Matricule]]="","",MAX($B$7:B275)+1)</f>
        <v/>
      </c>
      <c r="C276" s="8"/>
      <c r="D276" s="8"/>
      <c r="E276" s="20"/>
      <c r="F276" s="63"/>
      <c r="G276" s="8"/>
      <c r="H276" s="8"/>
      <c r="I276" s="10"/>
      <c r="J276" s="10"/>
      <c r="K276" s="9"/>
      <c r="L276" s="9"/>
      <c r="M276" s="9"/>
      <c r="N27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6" s="660"/>
      <c r="P276" s="660"/>
      <c r="Q276" s="461"/>
      <c r="R276" s="381"/>
      <c r="S276" s="37"/>
      <c r="T276" s="37"/>
      <c r="U276" s="37"/>
      <c r="V276" s="37"/>
      <c r="W276" s="37"/>
      <c r="X276" s="37"/>
      <c r="Y27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6" s="37"/>
      <c r="AA276" s="662" t="str">
        <f>IF(COUNTA(CCTSAS[[#This Row],[Nom]:[heures annuelles
selon contrat(s)]])=0,"",CCTSAS[[#This Row],[Total global]]-ABS(CCTSAS[[#This Row],[Dont non opposable]]))</f>
        <v/>
      </c>
      <c r="AB276" s="8"/>
      <c r="AC276" s="63"/>
      <c r="AD276" s="428"/>
      <c r="AE276" s="428"/>
      <c r="AF276" s="428"/>
      <c r="AG276" s="43"/>
      <c r="AH276" s="183" t="str">
        <f>IF(COUNTA(CCTSAS[[#This Row],[Nom]:[heures annuelles
selon contrat(s)]])=0,"",REVEX!$E$9)</f>
        <v/>
      </c>
      <c r="AI276" s="72" t="str">
        <f>IF(CCTSAS[[#This Row],[Allocation fonctions]]="","",IF(ISNA(VLOOKUP(CCTSAS[[#This Row],[Allocation fonctions]],DROPDOWN[Dropdown82],1,FALSE))=TRUE,"Veuillez utiliser les allocations parmis la liste déroulante.",""))</f>
        <v/>
      </c>
    </row>
    <row r="277" spans="1:35" x14ac:dyDescent="0.25">
      <c r="A277" s="72" t="str">
        <f>IF(CCTSAS[[#This Row],[Carrière]]="","",IF(ISNA(VLOOKUP(CCTSAS[[#This Row],[Carrière]],DROPDOWN[Dropdown9],1,FALSE))=TRUE,"Carrière: Utiliser la liste déroulante",""))</f>
        <v/>
      </c>
      <c r="B277" s="554" t="str">
        <f>IF(CCTSAS[[#This Row],[Matricule]]="","",MAX($B$7:B276)+1)</f>
        <v/>
      </c>
      <c r="C277" s="8"/>
      <c r="D277" s="8"/>
      <c r="E277" s="20"/>
      <c r="F277" s="63"/>
      <c r="G277" s="8"/>
      <c r="H277" s="8"/>
      <c r="I277" s="10"/>
      <c r="J277" s="10"/>
      <c r="K277" s="9"/>
      <c r="L277" s="9"/>
      <c r="M277" s="9"/>
      <c r="N27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7" s="660"/>
      <c r="P277" s="660"/>
      <c r="Q277" s="461"/>
      <c r="R277" s="381"/>
      <c r="S277" s="37"/>
      <c r="T277" s="37"/>
      <c r="U277" s="37"/>
      <c r="V277" s="37"/>
      <c r="W277" s="37"/>
      <c r="X277" s="37"/>
      <c r="Y27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7" s="37"/>
      <c r="AA277" s="662" t="str">
        <f>IF(COUNTA(CCTSAS[[#This Row],[Nom]:[heures annuelles
selon contrat(s)]])=0,"",CCTSAS[[#This Row],[Total global]]-ABS(CCTSAS[[#This Row],[Dont non opposable]]))</f>
        <v/>
      </c>
      <c r="AB277" s="8"/>
      <c r="AC277" s="63"/>
      <c r="AD277" s="428"/>
      <c r="AE277" s="428"/>
      <c r="AF277" s="428"/>
      <c r="AG277" s="43"/>
      <c r="AH277" s="183" t="str">
        <f>IF(COUNTA(CCTSAS[[#This Row],[Nom]:[heures annuelles
selon contrat(s)]])=0,"",REVEX!$E$9)</f>
        <v/>
      </c>
      <c r="AI277" s="72" t="str">
        <f>IF(CCTSAS[[#This Row],[Allocation fonctions]]="","",IF(ISNA(VLOOKUP(CCTSAS[[#This Row],[Allocation fonctions]],DROPDOWN[Dropdown82],1,FALSE))=TRUE,"Veuillez utiliser les allocations parmis la liste déroulante.",""))</f>
        <v/>
      </c>
    </row>
    <row r="278" spans="1:35" x14ac:dyDescent="0.25">
      <c r="A278" s="72" t="str">
        <f>IF(CCTSAS[[#This Row],[Carrière]]="","",IF(ISNA(VLOOKUP(CCTSAS[[#This Row],[Carrière]],DROPDOWN[Dropdown9],1,FALSE))=TRUE,"Carrière: Utiliser la liste déroulante",""))</f>
        <v/>
      </c>
      <c r="B278" s="554" t="str">
        <f>IF(CCTSAS[[#This Row],[Matricule]]="","",MAX($B$7:B277)+1)</f>
        <v/>
      </c>
      <c r="C278" s="8"/>
      <c r="D278" s="8"/>
      <c r="E278" s="20"/>
      <c r="F278" s="63"/>
      <c r="G278" s="8"/>
      <c r="H278" s="8"/>
      <c r="I278" s="10"/>
      <c r="J278" s="10"/>
      <c r="K278" s="9"/>
      <c r="L278" s="9"/>
      <c r="M278" s="9"/>
      <c r="N27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8" s="660"/>
      <c r="P278" s="660"/>
      <c r="Q278" s="461"/>
      <c r="R278" s="381"/>
      <c r="S278" s="37"/>
      <c r="T278" s="37"/>
      <c r="U278" s="37"/>
      <c r="V278" s="37"/>
      <c r="W278" s="37"/>
      <c r="X278" s="37"/>
      <c r="Y27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8" s="37"/>
      <c r="AA278" s="662" t="str">
        <f>IF(COUNTA(CCTSAS[[#This Row],[Nom]:[heures annuelles
selon contrat(s)]])=0,"",CCTSAS[[#This Row],[Total global]]-ABS(CCTSAS[[#This Row],[Dont non opposable]]))</f>
        <v/>
      </c>
      <c r="AB278" s="8"/>
      <c r="AC278" s="63"/>
      <c r="AD278" s="428"/>
      <c r="AE278" s="428"/>
      <c r="AF278" s="428"/>
      <c r="AG278" s="43"/>
      <c r="AH278" s="183" t="str">
        <f>IF(COUNTA(CCTSAS[[#This Row],[Nom]:[heures annuelles
selon contrat(s)]])=0,"",REVEX!$E$9)</f>
        <v/>
      </c>
      <c r="AI278" s="72" t="str">
        <f>IF(CCTSAS[[#This Row],[Allocation fonctions]]="","",IF(ISNA(VLOOKUP(CCTSAS[[#This Row],[Allocation fonctions]],DROPDOWN[Dropdown82],1,FALSE))=TRUE,"Veuillez utiliser les allocations parmis la liste déroulante.",""))</f>
        <v/>
      </c>
    </row>
    <row r="279" spans="1:35" x14ac:dyDescent="0.25">
      <c r="A279" s="72" t="str">
        <f>IF(CCTSAS[[#This Row],[Carrière]]="","",IF(ISNA(VLOOKUP(CCTSAS[[#This Row],[Carrière]],DROPDOWN[Dropdown9],1,FALSE))=TRUE,"Carrière: Utiliser la liste déroulante",""))</f>
        <v/>
      </c>
      <c r="B279" s="554" t="str">
        <f>IF(CCTSAS[[#This Row],[Matricule]]="","",MAX($B$7:B278)+1)</f>
        <v/>
      </c>
      <c r="C279" s="8"/>
      <c r="D279" s="8"/>
      <c r="E279" s="20"/>
      <c r="F279" s="63"/>
      <c r="G279" s="8"/>
      <c r="H279" s="8"/>
      <c r="I279" s="10"/>
      <c r="J279" s="10"/>
      <c r="K279" s="9"/>
      <c r="L279" s="9"/>
      <c r="M279" s="9"/>
      <c r="N27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79" s="660"/>
      <c r="P279" s="660"/>
      <c r="Q279" s="461"/>
      <c r="R279" s="381"/>
      <c r="S279" s="37"/>
      <c r="T279" s="37"/>
      <c r="U279" s="37"/>
      <c r="V279" s="37"/>
      <c r="W279" s="37"/>
      <c r="X279" s="37"/>
      <c r="Y27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79" s="37"/>
      <c r="AA279" s="662" t="str">
        <f>IF(COUNTA(CCTSAS[[#This Row],[Nom]:[heures annuelles
selon contrat(s)]])=0,"",CCTSAS[[#This Row],[Total global]]-ABS(CCTSAS[[#This Row],[Dont non opposable]]))</f>
        <v/>
      </c>
      <c r="AB279" s="8"/>
      <c r="AC279" s="63"/>
      <c r="AD279" s="428"/>
      <c r="AE279" s="428"/>
      <c r="AF279" s="428"/>
      <c r="AG279" s="43"/>
      <c r="AH279" s="183" t="str">
        <f>IF(COUNTA(CCTSAS[[#This Row],[Nom]:[heures annuelles
selon contrat(s)]])=0,"",REVEX!$E$9)</f>
        <v/>
      </c>
      <c r="AI279" s="72" t="str">
        <f>IF(CCTSAS[[#This Row],[Allocation fonctions]]="","",IF(ISNA(VLOOKUP(CCTSAS[[#This Row],[Allocation fonctions]],DROPDOWN[Dropdown82],1,FALSE))=TRUE,"Veuillez utiliser les allocations parmis la liste déroulante.",""))</f>
        <v/>
      </c>
    </row>
    <row r="280" spans="1:35" x14ac:dyDescent="0.25">
      <c r="A280" s="72" t="str">
        <f>IF(CCTSAS[[#This Row],[Carrière]]="","",IF(ISNA(VLOOKUP(CCTSAS[[#This Row],[Carrière]],DROPDOWN[Dropdown9],1,FALSE))=TRUE,"Carrière: Utiliser la liste déroulante",""))</f>
        <v/>
      </c>
      <c r="B280" s="554" t="str">
        <f>IF(CCTSAS[[#This Row],[Matricule]]="","",MAX($B$7:B279)+1)</f>
        <v/>
      </c>
      <c r="C280" s="8"/>
      <c r="D280" s="8"/>
      <c r="E280" s="20"/>
      <c r="F280" s="63"/>
      <c r="G280" s="8"/>
      <c r="H280" s="8"/>
      <c r="I280" s="10"/>
      <c r="J280" s="10"/>
      <c r="K280" s="9"/>
      <c r="L280" s="9"/>
      <c r="M280" s="9"/>
      <c r="N28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0" s="660"/>
      <c r="P280" s="660"/>
      <c r="Q280" s="461"/>
      <c r="R280" s="381"/>
      <c r="S280" s="37"/>
      <c r="T280" s="37"/>
      <c r="U280" s="37"/>
      <c r="V280" s="37"/>
      <c r="W280" s="37"/>
      <c r="X280" s="37"/>
      <c r="Y28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0" s="37"/>
      <c r="AA280" s="662" t="str">
        <f>IF(COUNTA(CCTSAS[[#This Row],[Nom]:[heures annuelles
selon contrat(s)]])=0,"",CCTSAS[[#This Row],[Total global]]-ABS(CCTSAS[[#This Row],[Dont non opposable]]))</f>
        <v/>
      </c>
      <c r="AB280" s="8"/>
      <c r="AC280" s="63"/>
      <c r="AD280" s="428"/>
      <c r="AE280" s="428"/>
      <c r="AF280" s="428"/>
      <c r="AG280" s="43"/>
      <c r="AH280" s="183" t="str">
        <f>IF(COUNTA(CCTSAS[[#This Row],[Nom]:[heures annuelles
selon contrat(s)]])=0,"",REVEX!$E$9)</f>
        <v/>
      </c>
      <c r="AI280" s="72" t="str">
        <f>IF(CCTSAS[[#This Row],[Allocation fonctions]]="","",IF(ISNA(VLOOKUP(CCTSAS[[#This Row],[Allocation fonctions]],DROPDOWN[Dropdown82],1,FALSE))=TRUE,"Veuillez utiliser les allocations parmis la liste déroulante.",""))</f>
        <v/>
      </c>
    </row>
    <row r="281" spans="1:35" x14ac:dyDescent="0.25">
      <c r="A281" s="72" t="str">
        <f>IF(CCTSAS[[#This Row],[Carrière]]="","",IF(ISNA(VLOOKUP(CCTSAS[[#This Row],[Carrière]],DROPDOWN[Dropdown9],1,FALSE))=TRUE,"Carrière: Utiliser la liste déroulante",""))</f>
        <v/>
      </c>
      <c r="B281" s="554" t="str">
        <f>IF(CCTSAS[[#This Row],[Matricule]]="","",MAX($B$7:B280)+1)</f>
        <v/>
      </c>
      <c r="C281" s="8"/>
      <c r="D281" s="8"/>
      <c r="E281" s="20"/>
      <c r="F281" s="63"/>
      <c r="G281" s="8"/>
      <c r="H281" s="8"/>
      <c r="I281" s="10"/>
      <c r="J281" s="10"/>
      <c r="K281" s="9"/>
      <c r="L281" s="9"/>
      <c r="M281" s="9"/>
      <c r="N28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1" s="660"/>
      <c r="P281" s="660"/>
      <c r="Q281" s="461"/>
      <c r="R281" s="381"/>
      <c r="S281" s="37"/>
      <c r="T281" s="37"/>
      <c r="U281" s="37"/>
      <c r="V281" s="37"/>
      <c r="W281" s="37"/>
      <c r="X281" s="37"/>
      <c r="Y28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1" s="37"/>
      <c r="AA281" s="662" t="str">
        <f>IF(COUNTA(CCTSAS[[#This Row],[Nom]:[heures annuelles
selon contrat(s)]])=0,"",CCTSAS[[#This Row],[Total global]]-ABS(CCTSAS[[#This Row],[Dont non opposable]]))</f>
        <v/>
      </c>
      <c r="AB281" s="8"/>
      <c r="AC281" s="63"/>
      <c r="AD281" s="428"/>
      <c r="AE281" s="428"/>
      <c r="AF281" s="428"/>
      <c r="AG281" s="43"/>
      <c r="AH281" s="183" t="str">
        <f>IF(COUNTA(CCTSAS[[#This Row],[Nom]:[heures annuelles
selon contrat(s)]])=0,"",REVEX!$E$9)</f>
        <v/>
      </c>
      <c r="AI281" s="72" t="str">
        <f>IF(CCTSAS[[#This Row],[Allocation fonctions]]="","",IF(ISNA(VLOOKUP(CCTSAS[[#This Row],[Allocation fonctions]],DROPDOWN[Dropdown82],1,FALSE))=TRUE,"Veuillez utiliser les allocations parmis la liste déroulante.",""))</f>
        <v/>
      </c>
    </row>
    <row r="282" spans="1:35" x14ac:dyDescent="0.25">
      <c r="A282" s="72" t="str">
        <f>IF(CCTSAS[[#This Row],[Carrière]]="","",IF(ISNA(VLOOKUP(CCTSAS[[#This Row],[Carrière]],DROPDOWN[Dropdown9],1,FALSE))=TRUE,"Carrière: Utiliser la liste déroulante",""))</f>
        <v/>
      </c>
      <c r="B282" s="554" t="str">
        <f>IF(CCTSAS[[#This Row],[Matricule]]="","",MAX($B$7:B281)+1)</f>
        <v/>
      </c>
      <c r="C282" s="8"/>
      <c r="D282" s="8"/>
      <c r="E282" s="20"/>
      <c r="F282" s="63"/>
      <c r="G282" s="8"/>
      <c r="H282" s="8"/>
      <c r="I282" s="10"/>
      <c r="J282" s="10"/>
      <c r="K282" s="9"/>
      <c r="L282" s="9"/>
      <c r="M282" s="9"/>
      <c r="N28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2" s="660"/>
      <c r="P282" s="660"/>
      <c r="Q282" s="461"/>
      <c r="R282" s="381"/>
      <c r="S282" s="37"/>
      <c r="T282" s="37"/>
      <c r="U282" s="37"/>
      <c r="V282" s="37"/>
      <c r="W282" s="37"/>
      <c r="X282" s="37"/>
      <c r="Y28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2" s="37"/>
      <c r="AA282" s="662" t="str">
        <f>IF(COUNTA(CCTSAS[[#This Row],[Nom]:[heures annuelles
selon contrat(s)]])=0,"",CCTSAS[[#This Row],[Total global]]-ABS(CCTSAS[[#This Row],[Dont non opposable]]))</f>
        <v/>
      </c>
      <c r="AB282" s="8"/>
      <c r="AC282" s="63"/>
      <c r="AD282" s="428"/>
      <c r="AE282" s="428"/>
      <c r="AF282" s="428"/>
      <c r="AG282" s="43"/>
      <c r="AH282" s="183" t="str">
        <f>IF(COUNTA(CCTSAS[[#This Row],[Nom]:[heures annuelles
selon contrat(s)]])=0,"",REVEX!$E$9)</f>
        <v/>
      </c>
      <c r="AI282" s="72" t="str">
        <f>IF(CCTSAS[[#This Row],[Allocation fonctions]]="","",IF(ISNA(VLOOKUP(CCTSAS[[#This Row],[Allocation fonctions]],DROPDOWN[Dropdown82],1,FALSE))=TRUE,"Veuillez utiliser les allocations parmis la liste déroulante.",""))</f>
        <v/>
      </c>
    </row>
    <row r="283" spans="1:35" x14ac:dyDescent="0.25">
      <c r="A283" s="72" t="str">
        <f>IF(CCTSAS[[#This Row],[Carrière]]="","",IF(ISNA(VLOOKUP(CCTSAS[[#This Row],[Carrière]],DROPDOWN[Dropdown9],1,FALSE))=TRUE,"Carrière: Utiliser la liste déroulante",""))</f>
        <v/>
      </c>
      <c r="B283" s="554" t="str">
        <f>IF(CCTSAS[[#This Row],[Matricule]]="","",MAX($B$7:B282)+1)</f>
        <v/>
      </c>
      <c r="C283" s="8"/>
      <c r="D283" s="8"/>
      <c r="E283" s="20"/>
      <c r="F283" s="63"/>
      <c r="G283" s="8"/>
      <c r="H283" s="8"/>
      <c r="I283" s="10"/>
      <c r="J283" s="10"/>
      <c r="K283" s="9"/>
      <c r="L283" s="9"/>
      <c r="M283" s="9"/>
      <c r="N28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3" s="660"/>
      <c r="P283" s="660"/>
      <c r="Q283" s="461"/>
      <c r="R283" s="381"/>
      <c r="S283" s="37"/>
      <c r="T283" s="37"/>
      <c r="U283" s="37"/>
      <c r="V283" s="37"/>
      <c r="W283" s="37"/>
      <c r="X283" s="37"/>
      <c r="Y28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3" s="37"/>
      <c r="AA283" s="662" t="str">
        <f>IF(COUNTA(CCTSAS[[#This Row],[Nom]:[heures annuelles
selon contrat(s)]])=0,"",CCTSAS[[#This Row],[Total global]]-ABS(CCTSAS[[#This Row],[Dont non opposable]]))</f>
        <v/>
      </c>
      <c r="AB283" s="8"/>
      <c r="AC283" s="63"/>
      <c r="AD283" s="428"/>
      <c r="AE283" s="428"/>
      <c r="AF283" s="428"/>
      <c r="AG283" s="43"/>
      <c r="AH283" s="183" t="str">
        <f>IF(COUNTA(CCTSAS[[#This Row],[Nom]:[heures annuelles
selon contrat(s)]])=0,"",REVEX!$E$9)</f>
        <v/>
      </c>
      <c r="AI283" s="72" t="str">
        <f>IF(CCTSAS[[#This Row],[Allocation fonctions]]="","",IF(ISNA(VLOOKUP(CCTSAS[[#This Row],[Allocation fonctions]],DROPDOWN[Dropdown82],1,FALSE))=TRUE,"Veuillez utiliser les allocations parmis la liste déroulante.",""))</f>
        <v/>
      </c>
    </row>
    <row r="284" spans="1:35" x14ac:dyDescent="0.25">
      <c r="A284" s="72" t="str">
        <f>IF(CCTSAS[[#This Row],[Carrière]]="","",IF(ISNA(VLOOKUP(CCTSAS[[#This Row],[Carrière]],DROPDOWN[Dropdown9],1,FALSE))=TRUE,"Carrière: Utiliser la liste déroulante",""))</f>
        <v/>
      </c>
      <c r="B284" s="554" t="str">
        <f>IF(CCTSAS[[#This Row],[Matricule]]="","",MAX($B$7:B283)+1)</f>
        <v/>
      </c>
      <c r="C284" s="8"/>
      <c r="D284" s="8"/>
      <c r="E284" s="20"/>
      <c r="F284" s="63"/>
      <c r="G284" s="8"/>
      <c r="H284" s="8"/>
      <c r="I284" s="10"/>
      <c r="J284" s="10"/>
      <c r="K284" s="9"/>
      <c r="L284" s="9"/>
      <c r="M284" s="9"/>
      <c r="N28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4" s="660"/>
      <c r="P284" s="660"/>
      <c r="Q284" s="461"/>
      <c r="R284" s="381"/>
      <c r="S284" s="37"/>
      <c r="T284" s="37"/>
      <c r="U284" s="37"/>
      <c r="V284" s="37"/>
      <c r="W284" s="37"/>
      <c r="X284" s="37"/>
      <c r="Y28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4" s="37"/>
      <c r="AA284" s="662" t="str">
        <f>IF(COUNTA(CCTSAS[[#This Row],[Nom]:[heures annuelles
selon contrat(s)]])=0,"",CCTSAS[[#This Row],[Total global]]-ABS(CCTSAS[[#This Row],[Dont non opposable]]))</f>
        <v/>
      </c>
      <c r="AB284" s="8"/>
      <c r="AC284" s="63"/>
      <c r="AD284" s="428"/>
      <c r="AE284" s="428"/>
      <c r="AF284" s="428"/>
      <c r="AG284" s="43"/>
      <c r="AH284" s="183" t="str">
        <f>IF(COUNTA(CCTSAS[[#This Row],[Nom]:[heures annuelles
selon contrat(s)]])=0,"",REVEX!$E$9)</f>
        <v/>
      </c>
      <c r="AI284" s="72" t="str">
        <f>IF(CCTSAS[[#This Row],[Allocation fonctions]]="","",IF(ISNA(VLOOKUP(CCTSAS[[#This Row],[Allocation fonctions]],DROPDOWN[Dropdown82],1,FALSE))=TRUE,"Veuillez utiliser les allocations parmis la liste déroulante.",""))</f>
        <v/>
      </c>
    </row>
    <row r="285" spans="1:35" x14ac:dyDescent="0.25">
      <c r="A285" s="72" t="str">
        <f>IF(CCTSAS[[#This Row],[Carrière]]="","",IF(ISNA(VLOOKUP(CCTSAS[[#This Row],[Carrière]],DROPDOWN[Dropdown9],1,FALSE))=TRUE,"Carrière: Utiliser la liste déroulante",""))</f>
        <v/>
      </c>
      <c r="B285" s="554" t="str">
        <f>IF(CCTSAS[[#This Row],[Matricule]]="","",MAX($B$7:B284)+1)</f>
        <v/>
      </c>
      <c r="C285" s="8"/>
      <c r="D285" s="8"/>
      <c r="E285" s="20"/>
      <c r="F285" s="63"/>
      <c r="G285" s="8"/>
      <c r="H285" s="8"/>
      <c r="I285" s="10"/>
      <c r="J285" s="10"/>
      <c r="K285" s="9"/>
      <c r="L285" s="9"/>
      <c r="M285" s="9"/>
      <c r="N28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5" s="660"/>
      <c r="P285" s="660"/>
      <c r="Q285" s="461"/>
      <c r="R285" s="381"/>
      <c r="S285" s="37"/>
      <c r="T285" s="37"/>
      <c r="U285" s="37"/>
      <c r="V285" s="37"/>
      <c r="W285" s="37"/>
      <c r="X285" s="37"/>
      <c r="Y28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5" s="37"/>
      <c r="AA285" s="662" t="str">
        <f>IF(COUNTA(CCTSAS[[#This Row],[Nom]:[heures annuelles
selon contrat(s)]])=0,"",CCTSAS[[#This Row],[Total global]]-ABS(CCTSAS[[#This Row],[Dont non opposable]]))</f>
        <v/>
      </c>
      <c r="AB285" s="8"/>
      <c r="AC285" s="63"/>
      <c r="AD285" s="428"/>
      <c r="AE285" s="428"/>
      <c r="AF285" s="428"/>
      <c r="AG285" s="43"/>
      <c r="AH285" s="183" t="str">
        <f>IF(COUNTA(CCTSAS[[#This Row],[Nom]:[heures annuelles
selon contrat(s)]])=0,"",REVEX!$E$9)</f>
        <v/>
      </c>
      <c r="AI285" s="72" t="str">
        <f>IF(CCTSAS[[#This Row],[Allocation fonctions]]="","",IF(ISNA(VLOOKUP(CCTSAS[[#This Row],[Allocation fonctions]],DROPDOWN[Dropdown82],1,FALSE))=TRUE,"Veuillez utiliser les allocations parmis la liste déroulante.",""))</f>
        <v/>
      </c>
    </row>
    <row r="286" spans="1:35" x14ac:dyDescent="0.25">
      <c r="A286" s="72" t="str">
        <f>IF(CCTSAS[[#This Row],[Carrière]]="","",IF(ISNA(VLOOKUP(CCTSAS[[#This Row],[Carrière]],DROPDOWN[Dropdown9],1,FALSE))=TRUE,"Carrière: Utiliser la liste déroulante",""))</f>
        <v/>
      </c>
      <c r="B286" s="554" t="str">
        <f>IF(CCTSAS[[#This Row],[Matricule]]="","",MAX($B$7:B285)+1)</f>
        <v/>
      </c>
      <c r="C286" s="8"/>
      <c r="D286" s="8"/>
      <c r="E286" s="20"/>
      <c r="F286" s="63"/>
      <c r="G286" s="8"/>
      <c r="H286" s="8"/>
      <c r="I286" s="10"/>
      <c r="J286" s="10"/>
      <c r="K286" s="9"/>
      <c r="L286" s="9"/>
      <c r="M286" s="9"/>
      <c r="N28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6" s="660"/>
      <c r="P286" s="660"/>
      <c r="Q286" s="461"/>
      <c r="R286" s="381"/>
      <c r="S286" s="37"/>
      <c r="T286" s="37"/>
      <c r="U286" s="37"/>
      <c r="V286" s="37"/>
      <c r="W286" s="37"/>
      <c r="X286" s="37"/>
      <c r="Y28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6" s="37"/>
      <c r="AA286" s="662" t="str">
        <f>IF(COUNTA(CCTSAS[[#This Row],[Nom]:[heures annuelles
selon contrat(s)]])=0,"",CCTSAS[[#This Row],[Total global]]-ABS(CCTSAS[[#This Row],[Dont non opposable]]))</f>
        <v/>
      </c>
      <c r="AB286" s="8"/>
      <c r="AC286" s="63"/>
      <c r="AD286" s="428"/>
      <c r="AE286" s="428"/>
      <c r="AF286" s="428"/>
      <c r="AG286" s="43"/>
      <c r="AH286" s="183" t="str">
        <f>IF(COUNTA(CCTSAS[[#This Row],[Nom]:[heures annuelles
selon contrat(s)]])=0,"",REVEX!$E$9)</f>
        <v/>
      </c>
      <c r="AI286" s="72" t="str">
        <f>IF(CCTSAS[[#This Row],[Allocation fonctions]]="","",IF(ISNA(VLOOKUP(CCTSAS[[#This Row],[Allocation fonctions]],DROPDOWN[Dropdown82],1,FALSE))=TRUE,"Veuillez utiliser les allocations parmis la liste déroulante.",""))</f>
        <v/>
      </c>
    </row>
    <row r="287" spans="1:35" x14ac:dyDescent="0.25">
      <c r="A287" s="72" t="str">
        <f>IF(CCTSAS[[#This Row],[Carrière]]="","",IF(ISNA(VLOOKUP(CCTSAS[[#This Row],[Carrière]],DROPDOWN[Dropdown9],1,FALSE))=TRUE,"Carrière: Utiliser la liste déroulante",""))</f>
        <v/>
      </c>
      <c r="B287" s="554" t="str">
        <f>IF(CCTSAS[[#This Row],[Matricule]]="","",MAX($B$7:B286)+1)</f>
        <v/>
      </c>
      <c r="C287" s="8"/>
      <c r="D287" s="8"/>
      <c r="E287" s="20"/>
      <c r="F287" s="63"/>
      <c r="G287" s="8"/>
      <c r="H287" s="8"/>
      <c r="I287" s="10"/>
      <c r="J287" s="10"/>
      <c r="K287" s="9"/>
      <c r="L287" s="9"/>
      <c r="M287" s="9"/>
      <c r="N28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7" s="660"/>
      <c r="P287" s="660"/>
      <c r="Q287" s="461"/>
      <c r="R287" s="381"/>
      <c r="S287" s="37"/>
      <c r="T287" s="37"/>
      <c r="U287" s="37"/>
      <c r="V287" s="37"/>
      <c r="W287" s="37"/>
      <c r="X287" s="37"/>
      <c r="Y28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7" s="37"/>
      <c r="AA287" s="662" t="str">
        <f>IF(COUNTA(CCTSAS[[#This Row],[Nom]:[heures annuelles
selon contrat(s)]])=0,"",CCTSAS[[#This Row],[Total global]]-ABS(CCTSAS[[#This Row],[Dont non opposable]]))</f>
        <v/>
      </c>
      <c r="AB287" s="8"/>
      <c r="AC287" s="63"/>
      <c r="AD287" s="428"/>
      <c r="AE287" s="428"/>
      <c r="AF287" s="428"/>
      <c r="AG287" s="43"/>
      <c r="AH287" s="183" t="str">
        <f>IF(COUNTA(CCTSAS[[#This Row],[Nom]:[heures annuelles
selon contrat(s)]])=0,"",REVEX!$E$9)</f>
        <v/>
      </c>
      <c r="AI287" s="72" t="str">
        <f>IF(CCTSAS[[#This Row],[Allocation fonctions]]="","",IF(ISNA(VLOOKUP(CCTSAS[[#This Row],[Allocation fonctions]],DROPDOWN[Dropdown82],1,FALSE))=TRUE,"Veuillez utiliser les allocations parmis la liste déroulante.",""))</f>
        <v/>
      </c>
    </row>
    <row r="288" spans="1:35" x14ac:dyDescent="0.25">
      <c r="A288" s="72" t="str">
        <f>IF(CCTSAS[[#This Row],[Carrière]]="","",IF(ISNA(VLOOKUP(CCTSAS[[#This Row],[Carrière]],DROPDOWN[Dropdown9],1,FALSE))=TRUE,"Carrière: Utiliser la liste déroulante",""))</f>
        <v/>
      </c>
      <c r="B288" s="554" t="str">
        <f>IF(CCTSAS[[#This Row],[Matricule]]="","",MAX($B$7:B287)+1)</f>
        <v/>
      </c>
      <c r="C288" s="8"/>
      <c r="D288" s="8"/>
      <c r="E288" s="20"/>
      <c r="F288" s="63"/>
      <c r="G288" s="8"/>
      <c r="H288" s="8"/>
      <c r="I288" s="10"/>
      <c r="J288" s="10"/>
      <c r="K288" s="9"/>
      <c r="L288" s="9"/>
      <c r="M288" s="9"/>
      <c r="N28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8" s="660"/>
      <c r="P288" s="660"/>
      <c r="Q288" s="461"/>
      <c r="R288" s="381"/>
      <c r="S288" s="37"/>
      <c r="T288" s="37"/>
      <c r="U288" s="37"/>
      <c r="V288" s="37"/>
      <c r="W288" s="37"/>
      <c r="X288" s="37"/>
      <c r="Y28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8" s="37"/>
      <c r="AA288" s="662" t="str">
        <f>IF(COUNTA(CCTSAS[[#This Row],[Nom]:[heures annuelles
selon contrat(s)]])=0,"",CCTSAS[[#This Row],[Total global]]-ABS(CCTSAS[[#This Row],[Dont non opposable]]))</f>
        <v/>
      </c>
      <c r="AB288" s="8"/>
      <c r="AC288" s="63"/>
      <c r="AD288" s="428"/>
      <c r="AE288" s="428"/>
      <c r="AF288" s="428"/>
      <c r="AG288" s="43"/>
      <c r="AH288" s="183" t="str">
        <f>IF(COUNTA(CCTSAS[[#This Row],[Nom]:[heures annuelles
selon contrat(s)]])=0,"",REVEX!$E$9)</f>
        <v/>
      </c>
      <c r="AI288" s="72" t="str">
        <f>IF(CCTSAS[[#This Row],[Allocation fonctions]]="","",IF(ISNA(VLOOKUP(CCTSAS[[#This Row],[Allocation fonctions]],DROPDOWN[Dropdown82],1,FALSE))=TRUE,"Veuillez utiliser les allocations parmis la liste déroulante.",""))</f>
        <v/>
      </c>
    </row>
    <row r="289" spans="1:35" x14ac:dyDescent="0.25">
      <c r="A289" s="72" t="str">
        <f>IF(CCTSAS[[#This Row],[Carrière]]="","",IF(ISNA(VLOOKUP(CCTSAS[[#This Row],[Carrière]],DROPDOWN[Dropdown9],1,FALSE))=TRUE,"Carrière: Utiliser la liste déroulante",""))</f>
        <v/>
      </c>
      <c r="B289" s="554" t="str">
        <f>IF(CCTSAS[[#This Row],[Matricule]]="","",MAX($B$7:B288)+1)</f>
        <v/>
      </c>
      <c r="C289" s="8"/>
      <c r="D289" s="8"/>
      <c r="E289" s="20"/>
      <c r="F289" s="63"/>
      <c r="G289" s="8"/>
      <c r="H289" s="8"/>
      <c r="I289" s="10"/>
      <c r="J289" s="10"/>
      <c r="K289" s="9"/>
      <c r="L289" s="9"/>
      <c r="M289" s="9"/>
      <c r="N28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89" s="660"/>
      <c r="P289" s="660"/>
      <c r="Q289" s="461"/>
      <c r="R289" s="381"/>
      <c r="S289" s="37"/>
      <c r="T289" s="37"/>
      <c r="U289" s="37"/>
      <c r="V289" s="37"/>
      <c r="W289" s="37"/>
      <c r="X289" s="37"/>
      <c r="Y28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89" s="37"/>
      <c r="AA289" s="662" t="str">
        <f>IF(COUNTA(CCTSAS[[#This Row],[Nom]:[heures annuelles
selon contrat(s)]])=0,"",CCTSAS[[#This Row],[Total global]]-ABS(CCTSAS[[#This Row],[Dont non opposable]]))</f>
        <v/>
      </c>
      <c r="AB289" s="8"/>
      <c r="AC289" s="63"/>
      <c r="AD289" s="428"/>
      <c r="AE289" s="428"/>
      <c r="AF289" s="428"/>
      <c r="AG289" s="43"/>
      <c r="AH289" s="183" t="str">
        <f>IF(COUNTA(CCTSAS[[#This Row],[Nom]:[heures annuelles
selon contrat(s)]])=0,"",REVEX!$E$9)</f>
        <v/>
      </c>
      <c r="AI289" s="72" t="str">
        <f>IF(CCTSAS[[#This Row],[Allocation fonctions]]="","",IF(ISNA(VLOOKUP(CCTSAS[[#This Row],[Allocation fonctions]],DROPDOWN[Dropdown82],1,FALSE))=TRUE,"Veuillez utiliser les allocations parmis la liste déroulante.",""))</f>
        <v/>
      </c>
    </row>
    <row r="290" spans="1:35" x14ac:dyDescent="0.25">
      <c r="A290" s="72" t="str">
        <f>IF(CCTSAS[[#This Row],[Carrière]]="","",IF(ISNA(VLOOKUP(CCTSAS[[#This Row],[Carrière]],DROPDOWN[Dropdown9],1,FALSE))=TRUE,"Carrière: Utiliser la liste déroulante",""))</f>
        <v/>
      </c>
      <c r="B290" s="554" t="str">
        <f>IF(CCTSAS[[#This Row],[Matricule]]="","",MAX($B$7:B289)+1)</f>
        <v/>
      </c>
      <c r="C290" s="8"/>
      <c r="D290" s="8"/>
      <c r="E290" s="20"/>
      <c r="F290" s="63"/>
      <c r="G290" s="8"/>
      <c r="H290" s="8"/>
      <c r="I290" s="10"/>
      <c r="J290" s="10"/>
      <c r="K290" s="9"/>
      <c r="L290" s="9"/>
      <c r="M290" s="9"/>
      <c r="N29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0" s="660"/>
      <c r="P290" s="660"/>
      <c r="Q290" s="461"/>
      <c r="R290" s="381"/>
      <c r="S290" s="37"/>
      <c r="T290" s="37"/>
      <c r="U290" s="37"/>
      <c r="V290" s="37"/>
      <c r="W290" s="37"/>
      <c r="X290" s="37"/>
      <c r="Y29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0" s="37"/>
      <c r="AA290" s="662" t="str">
        <f>IF(COUNTA(CCTSAS[[#This Row],[Nom]:[heures annuelles
selon contrat(s)]])=0,"",CCTSAS[[#This Row],[Total global]]-ABS(CCTSAS[[#This Row],[Dont non opposable]]))</f>
        <v/>
      </c>
      <c r="AB290" s="8"/>
      <c r="AC290" s="63"/>
      <c r="AD290" s="428"/>
      <c r="AE290" s="428"/>
      <c r="AF290" s="428"/>
      <c r="AG290" s="43"/>
      <c r="AH290" s="183" t="str">
        <f>IF(COUNTA(CCTSAS[[#This Row],[Nom]:[heures annuelles
selon contrat(s)]])=0,"",REVEX!$E$9)</f>
        <v/>
      </c>
      <c r="AI290" s="72" t="str">
        <f>IF(CCTSAS[[#This Row],[Allocation fonctions]]="","",IF(ISNA(VLOOKUP(CCTSAS[[#This Row],[Allocation fonctions]],DROPDOWN[Dropdown82],1,FALSE))=TRUE,"Veuillez utiliser les allocations parmis la liste déroulante.",""))</f>
        <v/>
      </c>
    </row>
    <row r="291" spans="1:35" x14ac:dyDescent="0.25">
      <c r="A291" s="72" t="str">
        <f>IF(CCTSAS[[#This Row],[Carrière]]="","",IF(ISNA(VLOOKUP(CCTSAS[[#This Row],[Carrière]],DROPDOWN[Dropdown9],1,FALSE))=TRUE,"Carrière: Utiliser la liste déroulante",""))</f>
        <v/>
      </c>
      <c r="B291" s="554" t="str">
        <f>IF(CCTSAS[[#This Row],[Matricule]]="","",MAX($B$7:B290)+1)</f>
        <v/>
      </c>
      <c r="C291" s="8"/>
      <c r="D291" s="8"/>
      <c r="E291" s="20"/>
      <c r="F291" s="63"/>
      <c r="G291" s="8"/>
      <c r="H291" s="8"/>
      <c r="I291" s="10"/>
      <c r="J291" s="10"/>
      <c r="K291" s="9"/>
      <c r="L291" s="9"/>
      <c r="M291" s="9"/>
      <c r="N29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1" s="660"/>
      <c r="P291" s="660"/>
      <c r="Q291" s="461"/>
      <c r="R291" s="381"/>
      <c r="S291" s="37"/>
      <c r="T291" s="37"/>
      <c r="U291" s="37"/>
      <c r="V291" s="37"/>
      <c r="W291" s="37"/>
      <c r="X291" s="37"/>
      <c r="Y29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1" s="37"/>
      <c r="AA291" s="662" t="str">
        <f>IF(COUNTA(CCTSAS[[#This Row],[Nom]:[heures annuelles
selon contrat(s)]])=0,"",CCTSAS[[#This Row],[Total global]]-ABS(CCTSAS[[#This Row],[Dont non opposable]]))</f>
        <v/>
      </c>
      <c r="AB291" s="8"/>
      <c r="AC291" s="63"/>
      <c r="AD291" s="428"/>
      <c r="AE291" s="428"/>
      <c r="AF291" s="428"/>
      <c r="AG291" s="43"/>
      <c r="AH291" s="183" t="str">
        <f>IF(COUNTA(CCTSAS[[#This Row],[Nom]:[heures annuelles
selon contrat(s)]])=0,"",REVEX!$E$9)</f>
        <v/>
      </c>
      <c r="AI291" s="72" t="str">
        <f>IF(CCTSAS[[#This Row],[Allocation fonctions]]="","",IF(ISNA(VLOOKUP(CCTSAS[[#This Row],[Allocation fonctions]],DROPDOWN[Dropdown82],1,FALSE))=TRUE,"Veuillez utiliser les allocations parmis la liste déroulante.",""))</f>
        <v/>
      </c>
    </row>
    <row r="292" spans="1:35" x14ac:dyDescent="0.25">
      <c r="A292" s="72" t="str">
        <f>IF(CCTSAS[[#This Row],[Carrière]]="","",IF(ISNA(VLOOKUP(CCTSAS[[#This Row],[Carrière]],DROPDOWN[Dropdown9],1,FALSE))=TRUE,"Carrière: Utiliser la liste déroulante",""))</f>
        <v/>
      </c>
      <c r="B292" s="554" t="str">
        <f>IF(CCTSAS[[#This Row],[Matricule]]="","",MAX($B$7:B291)+1)</f>
        <v/>
      </c>
      <c r="C292" s="8"/>
      <c r="D292" s="8"/>
      <c r="E292" s="20"/>
      <c r="F292" s="63"/>
      <c r="G292" s="8"/>
      <c r="H292" s="8"/>
      <c r="I292" s="10"/>
      <c r="J292" s="10"/>
      <c r="K292" s="9"/>
      <c r="L292" s="9"/>
      <c r="M292" s="9"/>
      <c r="N29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2" s="660"/>
      <c r="P292" s="660"/>
      <c r="Q292" s="461"/>
      <c r="R292" s="381"/>
      <c r="S292" s="37"/>
      <c r="T292" s="37"/>
      <c r="U292" s="37"/>
      <c r="V292" s="37"/>
      <c r="W292" s="37"/>
      <c r="X292" s="37"/>
      <c r="Y29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2" s="37"/>
      <c r="AA292" s="662" t="str">
        <f>IF(COUNTA(CCTSAS[[#This Row],[Nom]:[heures annuelles
selon contrat(s)]])=0,"",CCTSAS[[#This Row],[Total global]]-ABS(CCTSAS[[#This Row],[Dont non opposable]]))</f>
        <v/>
      </c>
      <c r="AB292" s="8"/>
      <c r="AC292" s="63"/>
      <c r="AD292" s="428"/>
      <c r="AE292" s="428"/>
      <c r="AF292" s="428"/>
      <c r="AG292" s="43"/>
      <c r="AH292" s="183" t="str">
        <f>IF(COUNTA(CCTSAS[[#This Row],[Nom]:[heures annuelles
selon contrat(s)]])=0,"",REVEX!$E$9)</f>
        <v/>
      </c>
      <c r="AI292" s="72" t="str">
        <f>IF(CCTSAS[[#This Row],[Allocation fonctions]]="","",IF(ISNA(VLOOKUP(CCTSAS[[#This Row],[Allocation fonctions]],DROPDOWN[Dropdown82],1,FALSE))=TRUE,"Veuillez utiliser les allocations parmis la liste déroulante.",""))</f>
        <v/>
      </c>
    </row>
    <row r="293" spans="1:35" x14ac:dyDescent="0.25">
      <c r="A293" s="72" t="str">
        <f>IF(CCTSAS[[#This Row],[Carrière]]="","",IF(ISNA(VLOOKUP(CCTSAS[[#This Row],[Carrière]],DROPDOWN[Dropdown9],1,FALSE))=TRUE,"Carrière: Utiliser la liste déroulante",""))</f>
        <v/>
      </c>
      <c r="B293" s="554" t="str">
        <f>IF(CCTSAS[[#This Row],[Matricule]]="","",MAX($B$7:B292)+1)</f>
        <v/>
      </c>
      <c r="C293" s="8"/>
      <c r="D293" s="8"/>
      <c r="E293" s="20"/>
      <c r="F293" s="63"/>
      <c r="G293" s="8"/>
      <c r="H293" s="8"/>
      <c r="I293" s="10"/>
      <c r="J293" s="10"/>
      <c r="K293" s="9"/>
      <c r="L293" s="9"/>
      <c r="M293" s="9"/>
      <c r="N29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3" s="660"/>
      <c r="P293" s="660"/>
      <c r="Q293" s="461"/>
      <c r="R293" s="381"/>
      <c r="S293" s="37"/>
      <c r="T293" s="37"/>
      <c r="U293" s="37"/>
      <c r="V293" s="37"/>
      <c r="W293" s="37"/>
      <c r="X293" s="37"/>
      <c r="Y29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3" s="37"/>
      <c r="AA293" s="662" t="str">
        <f>IF(COUNTA(CCTSAS[[#This Row],[Nom]:[heures annuelles
selon contrat(s)]])=0,"",CCTSAS[[#This Row],[Total global]]-ABS(CCTSAS[[#This Row],[Dont non opposable]]))</f>
        <v/>
      </c>
      <c r="AB293" s="8"/>
      <c r="AC293" s="63"/>
      <c r="AD293" s="428"/>
      <c r="AE293" s="428"/>
      <c r="AF293" s="428"/>
      <c r="AG293" s="43"/>
      <c r="AH293" s="183" t="str">
        <f>IF(COUNTA(CCTSAS[[#This Row],[Nom]:[heures annuelles
selon contrat(s)]])=0,"",REVEX!$E$9)</f>
        <v/>
      </c>
      <c r="AI293" s="72" t="str">
        <f>IF(CCTSAS[[#This Row],[Allocation fonctions]]="","",IF(ISNA(VLOOKUP(CCTSAS[[#This Row],[Allocation fonctions]],DROPDOWN[Dropdown82],1,FALSE))=TRUE,"Veuillez utiliser les allocations parmis la liste déroulante.",""))</f>
        <v/>
      </c>
    </row>
    <row r="294" spans="1:35" x14ac:dyDescent="0.25">
      <c r="A294" s="72" t="str">
        <f>IF(CCTSAS[[#This Row],[Carrière]]="","",IF(ISNA(VLOOKUP(CCTSAS[[#This Row],[Carrière]],DROPDOWN[Dropdown9],1,FALSE))=TRUE,"Carrière: Utiliser la liste déroulante",""))</f>
        <v/>
      </c>
      <c r="B294" s="554" t="str">
        <f>IF(CCTSAS[[#This Row],[Matricule]]="","",MAX($B$7:B293)+1)</f>
        <v/>
      </c>
      <c r="C294" s="8"/>
      <c r="D294" s="8"/>
      <c r="E294" s="20"/>
      <c r="F294" s="63"/>
      <c r="G294" s="8"/>
      <c r="H294" s="8"/>
      <c r="I294" s="10"/>
      <c r="J294" s="10"/>
      <c r="K294" s="9"/>
      <c r="L294" s="9"/>
      <c r="M294" s="9"/>
      <c r="N29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4" s="660"/>
      <c r="P294" s="660"/>
      <c r="Q294" s="461"/>
      <c r="R294" s="381"/>
      <c r="S294" s="37"/>
      <c r="T294" s="37"/>
      <c r="U294" s="37"/>
      <c r="V294" s="37"/>
      <c r="W294" s="37"/>
      <c r="X294" s="37"/>
      <c r="Y29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4" s="37"/>
      <c r="AA294" s="662" t="str">
        <f>IF(COUNTA(CCTSAS[[#This Row],[Nom]:[heures annuelles
selon contrat(s)]])=0,"",CCTSAS[[#This Row],[Total global]]-ABS(CCTSAS[[#This Row],[Dont non opposable]]))</f>
        <v/>
      </c>
      <c r="AB294" s="8"/>
      <c r="AC294" s="63"/>
      <c r="AD294" s="428"/>
      <c r="AE294" s="428"/>
      <c r="AF294" s="428"/>
      <c r="AG294" s="43"/>
      <c r="AH294" s="183" t="str">
        <f>IF(COUNTA(CCTSAS[[#This Row],[Nom]:[heures annuelles
selon contrat(s)]])=0,"",REVEX!$E$9)</f>
        <v/>
      </c>
      <c r="AI294" s="72" t="str">
        <f>IF(CCTSAS[[#This Row],[Allocation fonctions]]="","",IF(ISNA(VLOOKUP(CCTSAS[[#This Row],[Allocation fonctions]],DROPDOWN[Dropdown82],1,FALSE))=TRUE,"Veuillez utiliser les allocations parmis la liste déroulante.",""))</f>
        <v/>
      </c>
    </row>
    <row r="295" spans="1:35" x14ac:dyDescent="0.25">
      <c r="A295" s="72" t="str">
        <f>IF(CCTSAS[[#This Row],[Carrière]]="","",IF(ISNA(VLOOKUP(CCTSAS[[#This Row],[Carrière]],DROPDOWN[Dropdown9],1,FALSE))=TRUE,"Carrière: Utiliser la liste déroulante",""))</f>
        <v/>
      </c>
      <c r="B295" s="554" t="str">
        <f>IF(CCTSAS[[#This Row],[Matricule]]="","",MAX($B$7:B294)+1)</f>
        <v/>
      </c>
      <c r="C295" s="8"/>
      <c r="D295" s="8"/>
      <c r="E295" s="20"/>
      <c r="F295" s="63"/>
      <c r="G295" s="8"/>
      <c r="H295" s="8"/>
      <c r="I295" s="10"/>
      <c r="J295" s="10"/>
      <c r="K295" s="9"/>
      <c r="L295" s="9"/>
      <c r="M295" s="9"/>
      <c r="N29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5" s="660"/>
      <c r="P295" s="660"/>
      <c r="Q295" s="461"/>
      <c r="R295" s="381"/>
      <c r="S295" s="37"/>
      <c r="T295" s="37"/>
      <c r="U295" s="37"/>
      <c r="V295" s="37"/>
      <c r="W295" s="37"/>
      <c r="X295" s="37"/>
      <c r="Y29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5" s="37"/>
      <c r="AA295" s="662" t="str">
        <f>IF(COUNTA(CCTSAS[[#This Row],[Nom]:[heures annuelles
selon contrat(s)]])=0,"",CCTSAS[[#This Row],[Total global]]-ABS(CCTSAS[[#This Row],[Dont non opposable]]))</f>
        <v/>
      </c>
      <c r="AB295" s="8"/>
      <c r="AC295" s="63"/>
      <c r="AD295" s="428"/>
      <c r="AE295" s="428"/>
      <c r="AF295" s="428"/>
      <c r="AG295" s="43"/>
      <c r="AH295" s="183" t="str">
        <f>IF(COUNTA(CCTSAS[[#This Row],[Nom]:[heures annuelles
selon contrat(s)]])=0,"",REVEX!$E$9)</f>
        <v/>
      </c>
      <c r="AI295" s="72" t="str">
        <f>IF(CCTSAS[[#This Row],[Allocation fonctions]]="","",IF(ISNA(VLOOKUP(CCTSAS[[#This Row],[Allocation fonctions]],DROPDOWN[Dropdown82],1,FALSE))=TRUE,"Veuillez utiliser les allocations parmis la liste déroulante.",""))</f>
        <v/>
      </c>
    </row>
    <row r="296" spans="1:35" x14ac:dyDescent="0.25">
      <c r="A296" s="72" t="str">
        <f>IF(CCTSAS[[#This Row],[Carrière]]="","",IF(ISNA(VLOOKUP(CCTSAS[[#This Row],[Carrière]],DROPDOWN[Dropdown9],1,FALSE))=TRUE,"Carrière: Utiliser la liste déroulante",""))</f>
        <v/>
      </c>
      <c r="B296" s="554" t="str">
        <f>IF(CCTSAS[[#This Row],[Matricule]]="","",MAX($B$7:B295)+1)</f>
        <v/>
      </c>
      <c r="C296" s="8"/>
      <c r="D296" s="8"/>
      <c r="E296" s="20"/>
      <c r="F296" s="63"/>
      <c r="G296" s="8"/>
      <c r="H296" s="8"/>
      <c r="I296" s="10"/>
      <c r="J296" s="10"/>
      <c r="K296" s="9"/>
      <c r="L296" s="9"/>
      <c r="M296" s="9"/>
      <c r="N29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6" s="660"/>
      <c r="P296" s="660"/>
      <c r="Q296" s="461"/>
      <c r="R296" s="381"/>
      <c r="S296" s="37"/>
      <c r="T296" s="37"/>
      <c r="U296" s="37"/>
      <c r="V296" s="37"/>
      <c r="W296" s="37"/>
      <c r="X296" s="37"/>
      <c r="Y29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6" s="37"/>
      <c r="AA296" s="662" t="str">
        <f>IF(COUNTA(CCTSAS[[#This Row],[Nom]:[heures annuelles
selon contrat(s)]])=0,"",CCTSAS[[#This Row],[Total global]]-ABS(CCTSAS[[#This Row],[Dont non opposable]]))</f>
        <v/>
      </c>
      <c r="AB296" s="8"/>
      <c r="AC296" s="63"/>
      <c r="AD296" s="428"/>
      <c r="AE296" s="428"/>
      <c r="AF296" s="428"/>
      <c r="AG296" s="43"/>
      <c r="AH296" s="183" t="str">
        <f>IF(COUNTA(CCTSAS[[#This Row],[Nom]:[heures annuelles
selon contrat(s)]])=0,"",REVEX!$E$9)</f>
        <v/>
      </c>
      <c r="AI296" s="72" t="str">
        <f>IF(CCTSAS[[#This Row],[Allocation fonctions]]="","",IF(ISNA(VLOOKUP(CCTSAS[[#This Row],[Allocation fonctions]],DROPDOWN[Dropdown82],1,FALSE))=TRUE,"Veuillez utiliser les allocations parmis la liste déroulante.",""))</f>
        <v/>
      </c>
    </row>
    <row r="297" spans="1:35" x14ac:dyDescent="0.25">
      <c r="A297" s="72" t="str">
        <f>IF(CCTSAS[[#This Row],[Carrière]]="","",IF(ISNA(VLOOKUP(CCTSAS[[#This Row],[Carrière]],DROPDOWN[Dropdown9],1,FALSE))=TRUE,"Carrière: Utiliser la liste déroulante",""))</f>
        <v/>
      </c>
      <c r="B297" s="554" t="str">
        <f>IF(CCTSAS[[#This Row],[Matricule]]="","",MAX($B$7:B296)+1)</f>
        <v/>
      </c>
      <c r="C297" s="8"/>
      <c r="D297" s="8"/>
      <c r="E297" s="20"/>
      <c r="F297" s="63"/>
      <c r="G297" s="8"/>
      <c r="H297" s="8"/>
      <c r="I297" s="10"/>
      <c r="J297" s="10"/>
      <c r="K297" s="9"/>
      <c r="L297" s="9"/>
      <c r="M297" s="9"/>
      <c r="N29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7" s="660"/>
      <c r="P297" s="660"/>
      <c r="Q297" s="461"/>
      <c r="R297" s="381"/>
      <c r="S297" s="37"/>
      <c r="T297" s="37"/>
      <c r="U297" s="37"/>
      <c r="V297" s="37"/>
      <c r="W297" s="37"/>
      <c r="X297" s="37"/>
      <c r="Y29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7" s="37"/>
      <c r="AA297" s="662" t="str">
        <f>IF(COUNTA(CCTSAS[[#This Row],[Nom]:[heures annuelles
selon contrat(s)]])=0,"",CCTSAS[[#This Row],[Total global]]-ABS(CCTSAS[[#This Row],[Dont non opposable]]))</f>
        <v/>
      </c>
      <c r="AB297" s="8"/>
      <c r="AC297" s="63"/>
      <c r="AD297" s="428"/>
      <c r="AE297" s="428"/>
      <c r="AF297" s="428"/>
      <c r="AG297" s="43"/>
      <c r="AH297" s="183" t="str">
        <f>IF(COUNTA(CCTSAS[[#This Row],[Nom]:[heures annuelles
selon contrat(s)]])=0,"",REVEX!$E$9)</f>
        <v/>
      </c>
      <c r="AI297" s="72" t="str">
        <f>IF(CCTSAS[[#This Row],[Allocation fonctions]]="","",IF(ISNA(VLOOKUP(CCTSAS[[#This Row],[Allocation fonctions]],DROPDOWN[Dropdown82],1,FALSE))=TRUE,"Veuillez utiliser les allocations parmis la liste déroulante.",""))</f>
        <v/>
      </c>
    </row>
    <row r="298" spans="1:35" x14ac:dyDescent="0.25">
      <c r="A298" s="72" t="str">
        <f>IF(CCTSAS[[#This Row],[Carrière]]="","",IF(ISNA(VLOOKUP(CCTSAS[[#This Row],[Carrière]],DROPDOWN[Dropdown9],1,FALSE))=TRUE,"Carrière: Utiliser la liste déroulante",""))</f>
        <v/>
      </c>
      <c r="B298" s="554" t="str">
        <f>IF(CCTSAS[[#This Row],[Matricule]]="","",MAX($B$7:B297)+1)</f>
        <v/>
      </c>
      <c r="C298" s="8"/>
      <c r="D298" s="8"/>
      <c r="E298" s="20"/>
      <c r="F298" s="63"/>
      <c r="G298" s="8"/>
      <c r="H298" s="8"/>
      <c r="I298" s="10"/>
      <c r="J298" s="10"/>
      <c r="K298" s="9"/>
      <c r="L298" s="9"/>
      <c r="M298" s="9"/>
      <c r="N29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8" s="660"/>
      <c r="P298" s="660"/>
      <c r="Q298" s="461"/>
      <c r="R298" s="381"/>
      <c r="S298" s="37"/>
      <c r="T298" s="37"/>
      <c r="U298" s="37"/>
      <c r="V298" s="37"/>
      <c r="W298" s="37"/>
      <c r="X298" s="37"/>
      <c r="Y29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8" s="37"/>
      <c r="AA298" s="662" t="str">
        <f>IF(COUNTA(CCTSAS[[#This Row],[Nom]:[heures annuelles
selon contrat(s)]])=0,"",CCTSAS[[#This Row],[Total global]]-ABS(CCTSAS[[#This Row],[Dont non opposable]]))</f>
        <v/>
      </c>
      <c r="AB298" s="8"/>
      <c r="AC298" s="63"/>
      <c r="AD298" s="428"/>
      <c r="AE298" s="428"/>
      <c r="AF298" s="428"/>
      <c r="AG298" s="43"/>
      <c r="AH298" s="183" t="str">
        <f>IF(COUNTA(CCTSAS[[#This Row],[Nom]:[heures annuelles
selon contrat(s)]])=0,"",REVEX!$E$9)</f>
        <v/>
      </c>
      <c r="AI298" s="72" t="str">
        <f>IF(CCTSAS[[#This Row],[Allocation fonctions]]="","",IF(ISNA(VLOOKUP(CCTSAS[[#This Row],[Allocation fonctions]],DROPDOWN[Dropdown82],1,FALSE))=TRUE,"Veuillez utiliser les allocations parmis la liste déroulante.",""))</f>
        <v/>
      </c>
    </row>
    <row r="299" spans="1:35" x14ac:dyDescent="0.25">
      <c r="A299" s="72" t="str">
        <f>IF(CCTSAS[[#This Row],[Carrière]]="","",IF(ISNA(VLOOKUP(CCTSAS[[#This Row],[Carrière]],DROPDOWN[Dropdown9],1,FALSE))=TRUE,"Carrière: Utiliser la liste déroulante",""))</f>
        <v/>
      </c>
      <c r="B299" s="554" t="str">
        <f>IF(CCTSAS[[#This Row],[Matricule]]="","",MAX($B$7:B298)+1)</f>
        <v/>
      </c>
      <c r="C299" s="8"/>
      <c r="D299" s="8"/>
      <c r="E299" s="20"/>
      <c r="F299" s="63"/>
      <c r="G299" s="8"/>
      <c r="H299" s="8"/>
      <c r="I299" s="10"/>
      <c r="J299" s="10"/>
      <c r="K299" s="9"/>
      <c r="L299" s="9"/>
      <c r="M299" s="9"/>
      <c r="N29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299" s="660"/>
      <c r="P299" s="660"/>
      <c r="Q299" s="461"/>
      <c r="R299" s="381"/>
      <c r="S299" s="37"/>
      <c r="T299" s="37"/>
      <c r="U299" s="37"/>
      <c r="V299" s="37"/>
      <c r="W299" s="37"/>
      <c r="X299" s="37"/>
      <c r="Y29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299" s="37"/>
      <c r="AA299" s="662" t="str">
        <f>IF(COUNTA(CCTSAS[[#This Row],[Nom]:[heures annuelles
selon contrat(s)]])=0,"",CCTSAS[[#This Row],[Total global]]-ABS(CCTSAS[[#This Row],[Dont non opposable]]))</f>
        <v/>
      </c>
      <c r="AB299" s="8"/>
      <c r="AC299" s="63"/>
      <c r="AD299" s="428"/>
      <c r="AE299" s="428"/>
      <c r="AF299" s="428"/>
      <c r="AG299" s="43"/>
      <c r="AH299" s="183" t="str">
        <f>IF(COUNTA(CCTSAS[[#This Row],[Nom]:[heures annuelles
selon contrat(s)]])=0,"",REVEX!$E$9)</f>
        <v/>
      </c>
      <c r="AI299" s="72" t="str">
        <f>IF(CCTSAS[[#This Row],[Allocation fonctions]]="","",IF(ISNA(VLOOKUP(CCTSAS[[#This Row],[Allocation fonctions]],DROPDOWN[Dropdown82],1,FALSE))=TRUE,"Veuillez utiliser les allocations parmis la liste déroulante.",""))</f>
        <v/>
      </c>
    </row>
    <row r="300" spans="1:35" x14ac:dyDescent="0.25">
      <c r="A300" s="72" t="str">
        <f>IF(CCTSAS[[#This Row],[Carrière]]="","",IF(ISNA(VLOOKUP(CCTSAS[[#This Row],[Carrière]],DROPDOWN[Dropdown9],1,FALSE))=TRUE,"Carrière: Utiliser la liste déroulante",""))</f>
        <v/>
      </c>
      <c r="B300" s="554" t="str">
        <f>IF(CCTSAS[[#This Row],[Matricule]]="","",MAX($B$7:B299)+1)</f>
        <v/>
      </c>
      <c r="C300" s="8"/>
      <c r="D300" s="8"/>
      <c r="E300" s="20"/>
      <c r="F300" s="63"/>
      <c r="G300" s="8"/>
      <c r="H300" s="8"/>
      <c r="I300" s="10"/>
      <c r="J300" s="10"/>
      <c r="K300" s="9"/>
      <c r="L300" s="9"/>
      <c r="M300" s="9"/>
      <c r="N30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0" s="660"/>
      <c r="P300" s="660"/>
      <c r="Q300" s="461"/>
      <c r="R300" s="381"/>
      <c r="S300" s="37"/>
      <c r="T300" s="37"/>
      <c r="U300" s="37"/>
      <c r="V300" s="37"/>
      <c r="W300" s="37"/>
      <c r="X300" s="37"/>
      <c r="Y30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0" s="37"/>
      <c r="AA300" s="662" t="str">
        <f>IF(COUNTA(CCTSAS[[#This Row],[Nom]:[heures annuelles
selon contrat(s)]])=0,"",CCTSAS[[#This Row],[Total global]]-ABS(CCTSAS[[#This Row],[Dont non opposable]]))</f>
        <v/>
      </c>
      <c r="AB300" s="8"/>
      <c r="AC300" s="63"/>
      <c r="AD300" s="428"/>
      <c r="AE300" s="428"/>
      <c r="AF300" s="428"/>
      <c r="AG300" s="43"/>
      <c r="AH300" s="183" t="str">
        <f>IF(COUNTA(CCTSAS[[#This Row],[Nom]:[heures annuelles
selon contrat(s)]])=0,"",REVEX!$E$9)</f>
        <v/>
      </c>
      <c r="AI300" s="72" t="str">
        <f>IF(CCTSAS[[#This Row],[Allocation fonctions]]="","",IF(ISNA(VLOOKUP(CCTSAS[[#This Row],[Allocation fonctions]],DROPDOWN[Dropdown82],1,FALSE))=TRUE,"Veuillez utiliser les allocations parmis la liste déroulante.",""))</f>
        <v/>
      </c>
    </row>
    <row r="301" spans="1:35" x14ac:dyDescent="0.25">
      <c r="A301" s="72" t="str">
        <f>IF(CCTSAS[[#This Row],[Carrière]]="","",IF(ISNA(VLOOKUP(CCTSAS[[#This Row],[Carrière]],DROPDOWN[Dropdown9],1,FALSE))=TRUE,"Carrière: Utiliser la liste déroulante",""))</f>
        <v/>
      </c>
      <c r="B301" s="554" t="str">
        <f>IF(CCTSAS[[#This Row],[Matricule]]="","",MAX($B$7:B300)+1)</f>
        <v/>
      </c>
      <c r="C301" s="8"/>
      <c r="D301" s="8"/>
      <c r="E301" s="20"/>
      <c r="F301" s="63"/>
      <c r="G301" s="8"/>
      <c r="H301" s="8"/>
      <c r="I301" s="10"/>
      <c r="J301" s="10"/>
      <c r="K301" s="9"/>
      <c r="L301" s="9"/>
      <c r="M301" s="9"/>
      <c r="N30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1" s="660"/>
      <c r="P301" s="660"/>
      <c r="Q301" s="461"/>
      <c r="R301" s="381"/>
      <c r="S301" s="37"/>
      <c r="T301" s="37"/>
      <c r="U301" s="37"/>
      <c r="V301" s="37"/>
      <c r="W301" s="37"/>
      <c r="X301" s="37"/>
      <c r="Y30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1" s="37"/>
      <c r="AA301" s="662" t="str">
        <f>IF(COUNTA(CCTSAS[[#This Row],[Nom]:[heures annuelles
selon contrat(s)]])=0,"",CCTSAS[[#This Row],[Total global]]-ABS(CCTSAS[[#This Row],[Dont non opposable]]))</f>
        <v/>
      </c>
      <c r="AB301" s="8"/>
      <c r="AC301" s="63"/>
      <c r="AD301" s="428"/>
      <c r="AE301" s="428"/>
      <c r="AF301" s="428"/>
      <c r="AG301" s="43"/>
      <c r="AH301" s="183" t="str">
        <f>IF(COUNTA(CCTSAS[[#This Row],[Nom]:[heures annuelles
selon contrat(s)]])=0,"",REVEX!$E$9)</f>
        <v/>
      </c>
      <c r="AI301" s="72" t="str">
        <f>IF(CCTSAS[[#This Row],[Allocation fonctions]]="","",IF(ISNA(VLOOKUP(CCTSAS[[#This Row],[Allocation fonctions]],DROPDOWN[Dropdown82],1,FALSE))=TRUE,"Veuillez utiliser les allocations parmis la liste déroulante.",""))</f>
        <v/>
      </c>
    </row>
    <row r="302" spans="1:35" x14ac:dyDescent="0.25">
      <c r="A302" s="72" t="str">
        <f>IF(CCTSAS[[#This Row],[Carrière]]="","",IF(ISNA(VLOOKUP(CCTSAS[[#This Row],[Carrière]],DROPDOWN[Dropdown9],1,FALSE))=TRUE,"Carrière: Utiliser la liste déroulante",""))</f>
        <v/>
      </c>
      <c r="B302" s="554" t="str">
        <f>IF(CCTSAS[[#This Row],[Matricule]]="","",MAX($B$7:B301)+1)</f>
        <v/>
      </c>
      <c r="C302" s="8"/>
      <c r="D302" s="8"/>
      <c r="E302" s="20"/>
      <c r="F302" s="63"/>
      <c r="G302" s="8"/>
      <c r="H302" s="8"/>
      <c r="I302" s="10"/>
      <c r="J302" s="10"/>
      <c r="K302" s="9"/>
      <c r="L302" s="9"/>
      <c r="M302" s="9"/>
      <c r="N30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2" s="660"/>
      <c r="P302" s="660"/>
      <c r="Q302" s="461"/>
      <c r="R302" s="381"/>
      <c r="S302" s="37"/>
      <c r="T302" s="37"/>
      <c r="U302" s="37"/>
      <c r="V302" s="37"/>
      <c r="W302" s="37"/>
      <c r="X302" s="37"/>
      <c r="Y30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2" s="37"/>
      <c r="AA302" s="662" t="str">
        <f>IF(COUNTA(CCTSAS[[#This Row],[Nom]:[heures annuelles
selon contrat(s)]])=0,"",CCTSAS[[#This Row],[Total global]]-ABS(CCTSAS[[#This Row],[Dont non opposable]]))</f>
        <v/>
      </c>
      <c r="AB302" s="8"/>
      <c r="AC302" s="63"/>
      <c r="AD302" s="428"/>
      <c r="AE302" s="428"/>
      <c r="AF302" s="428"/>
      <c r="AG302" s="43"/>
      <c r="AH302" s="183" t="str">
        <f>IF(COUNTA(CCTSAS[[#This Row],[Nom]:[heures annuelles
selon contrat(s)]])=0,"",REVEX!$E$9)</f>
        <v/>
      </c>
      <c r="AI302" s="72" t="str">
        <f>IF(CCTSAS[[#This Row],[Allocation fonctions]]="","",IF(ISNA(VLOOKUP(CCTSAS[[#This Row],[Allocation fonctions]],DROPDOWN[Dropdown82],1,FALSE))=TRUE,"Veuillez utiliser les allocations parmis la liste déroulante.",""))</f>
        <v/>
      </c>
    </row>
    <row r="303" spans="1:35" x14ac:dyDescent="0.25">
      <c r="A303" s="72" t="str">
        <f>IF(CCTSAS[[#This Row],[Carrière]]="","",IF(ISNA(VLOOKUP(CCTSAS[[#This Row],[Carrière]],DROPDOWN[Dropdown9],1,FALSE))=TRUE,"Carrière: Utiliser la liste déroulante",""))</f>
        <v/>
      </c>
      <c r="B303" s="554" t="str">
        <f>IF(CCTSAS[[#This Row],[Matricule]]="","",MAX($B$7:B302)+1)</f>
        <v/>
      </c>
      <c r="C303" s="8"/>
      <c r="D303" s="8"/>
      <c r="E303" s="20"/>
      <c r="F303" s="63"/>
      <c r="G303" s="8"/>
      <c r="H303" s="8"/>
      <c r="I303" s="10"/>
      <c r="J303" s="10"/>
      <c r="K303" s="9"/>
      <c r="L303" s="9"/>
      <c r="M303" s="9"/>
      <c r="N30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3" s="660"/>
      <c r="P303" s="660"/>
      <c r="Q303" s="461"/>
      <c r="R303" s="381"/>
      <c r="S303" s="37"/>
      <c r="T303" s="37"/>
      <c r="U303" s="37"/>
      <c r="V303" s="37"/>
      <c r="W303" s="37"/>
      <c r="X303" s="37"/>
      <c r="Y30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3" s="37"/>
      <c r="AA303" s="662" t="str">
        <f>IF(COUNTA(CCTSAS[[#This Row],[Nom]:[heures annuelles
selon contrat(s)]])=0,"",CCTSAS[[#This Row],[Total global]]-ABS(CCTSAS[[#This Row],[Dont non opposable]]))</f>
        <v/>
      </c>
      <c r="AB303" s="8"/>
      <c r="AC303" s="63"/>
      <c r="AD303" s="428"/>
      <c r="AE303" s="428"/>
      <c r="AF303" s="428"/>
      <c r="AG303" s="43"/>
      <c r="AH303" s="183" t="str">
        <f>IF(COUNTA(CCTSAS[[#This Row],[Nom]:[heures annuelles
selon contrat(s)]])=0,"",REVEX!$E$9)</f>
        <v/>
      </c>
      <c r="AI303" s="72" t="str">
        <f>IF(CCTSAS[[#This Row],[Allocation fonctions]]="","",IF(ISNA(VLOOKUP(CCTSAS[[#This Row],[Allocation fonctions]],DROPDOWN[Dropdown82],1,FALSE))=TRUE,"Veuillez utiliser les allocations parmis la liste déroulante.",""))</f>
        <v/>
      </c>
    </row>
    <row r="304" spans="1:35" x14ac:dyDescent="0.25">
      <c r="A304" s="72" t="str">
        <f>IF(CCTSAS[[#This Row],[Carrière]]="","",IF(ISNA(VLOOKUP(CCTSAS[[#This Row],[Carrière]],DROPDOWN[Dropdown9],1,FALSE))=TRUE,"Carrière: Utiliser la liste déroulante",""))</f>
        <v/>
      </c>
      <c r="B304" s="554" t="str">
        <f>IF(CCTSAS[[#This Row],[Matricule]]="","",MAX($B$7:B303)+1)</f>
        <v/>
      </c>
      <c r="C304" s="8"/>
      <c r="D304" s="8"/>
      <c r="E304" s="20"/>
      <c r="F304" s="63"/>
      <c r="G304" s="8"/>
      <c r="H304" s="8"/>
      <c r="I304" s="10"/>
      <c r="J304" s="10"/>
      <c r="K304" s="9"/>
      <c r="L304" s="9"/>
      <c r="M304" s="9"/>
      <c r="N30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4" s="660"/>
      <c r="P304" s="660"/>
      <c r="Q304" s="461"/>
      <c r="R304" s="381"/>
      <c r="S304" s="37"/>
      <c r="T304" s="37"/>
      <c r="U304" s="37"/>
      <c r="V304" s="37"/>
      <c r="W304" s="37"/>
      <c r="X304" s="37"/>
      <c r="Y30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4" s="37"/>
      <c r="AA304" s="662" t="str">
        <f>IF(COUNTA(CCTSAS[[#This Row],[Nom]:[heures annuelles
selon contrat(s)]])=0,"",CCTSAS[[#This Row],[Total global]]-ABS(CCTSAS[[#This Row],[Dont non opposable]]))</f>
        <v/>
      </c>
      <c r="AB304" s="8"/>
      <c r="AC304" s="63"/>
      <c r="AD304" s="428"/>
      <c r="AE304" s="428"/>
      <c r="AF304" s="428"/>
      <c r="AG304" s="43"/>
      <c r="AH304" s="183" t="str">
        <f>IF(COUNTA(CCTSAS[[#This Row],[Nom]:[heures annuelles
selon contrat(s)]])=0,"",REVEX!$E$9)</f>
        <v/>
      </c>
      <c r="AI304" s="72" t="str">
        <f>IF(CCTSAS[[#This Row],[Allocation fonctions]]="","",IF(ISNA(VLOOKUP(CCTSAS[[#This Row],[Allocation fonctions]],DROPDOWN[Dropdown82],1,FALSE))=TRUE,"Veuillez utiliser les allocations parmis la liste déroulante.",""))</f>
        <v/>
      </c>
    </row>
    <row r="305" spans="1:35" x14ac:dyDescent="0.25">
      <c r="A305" s="72" t="str">
        <f>IF(CCTSAS[[#This Row],[Carrière]]="","",IF(ISNA(VLOOKUP(CCTSAS[[#This Row],[Carrière]],DROPDOWN[Dropdown9],1,FALSE))=TRUE,"Carrière: Utiliser la liste déroulante",""))</f>
        <v/>
      </c>
      <c r="B305" s="554" t="str">
        <f>IF(CCTSAS[[#This Row],[Matricule]]="","",MAX($B$7:B304)+1)</f>
        <v/>
      </c>
      <c r="C305" s="8"/>
      <c r="D305" s="8"/>
      <c r="E305" s="20"/>
      <c r="F305" s="63"/>
      <c r="G305" s="8"/>
      <c r="H305" s="8"/>
      <c r="I305" s="10"/>
      <c r="J305" s="10"/>
      <c r="K305" s="9"/>
      <c r="L305" s="9"/>
      <c r="M305" s="9"/>
      <c r="N30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5" s="660"/>
      <c r="P305" s="660"/>
      <c r="Q305" s="461"/>
      <c r="R305" s="381"/>
      <c r="S305" s="37"/>
      <c r="T305" s="37"/>
      <c r="U305" s="37"/>
      <c r="V305" s="37"/>
      <c r="W305" s="37"/>
      <c r="X305" s="37"/>
      <c r="Y30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5" s="37"/>
      <c r="AA305" s="662" t="str">
        <f>IF(COUNTA(CCTSAS[[#This Row],[Nom]:[heures annuelles
selon contrat(s)]])=0,"",CCTSAS[[#This Row],[Total global]]-ABS(CCTSAS[[#This Row],[Dont non opposable]]))</f>
        <v/>
      </c>
      <c r="AB305" s="8"/>
      <c r="AC305" s="63"/>
      <c r="AD305" s="428"/>
      <c r="AE305" s="428"/>
      <c r="AF305" s="428"/>
      <c r="AG305" s="43"/>
      <c r="AH305" s="183" t="str">
        <f>IF(COUNTA(CCTSAS[[#This Row],[Nom]:[heures annuelles
selon contrat(s)]])=0,"",REVEX!$E$9)</f>
        <v/>
      </c>
      <c r="AI305" s="72" t="str">
        <f>IF(CCTSAS[[#This Row],[Allocation fonctions]]="","",IF(ISNA(VLOOKUP(CCTSAS[[#This Row],[Allocation fonctions]],DROPDOWN[Dropdown82],1,FALSE))=TRUE,"Veuillez utiliser les allocations parmis la liste déroulante.",""))</f>
        <v/>
      </c>
    </row>
    <row r="306" spans="1:35" x14ac:dyDescent="0.25">
      <c r="A306" s="72" t="str">
        <f>IF(CCTSAS[[#This Row],[Carrière]]="","",IF(ISNA(VLOOKUP(CCTSAS[[#This Row],[Carrière]],DROPDOWN[Dropdown9],1,FALSE))=TRUE,"Carrière: Utiliser la liste déroulante",""))</f>
        <v/>
      </c>
      <c r="B306" s="554" t="str">
        <f>IF(CCTSAS[[#This Row],[Matricule]]="","",MAX($B$7:B305)+1)</f>
        <v/>
      </c>
      <c r="C306" s="8"/>
      <c r="D306" s="8"/>
      <c r="E306" s="20"/>
      <c r="F306" s="63"/>
      <c r="G306" s="8"/>
      <c r="H306" s="8"/>
      <c r="I306" s="10"/>
      <c r="J306" s="10"/>
      <c r="K306" s="9"/>
      <c r="L306" s="9"/>
      <c r="M306" s="9"/>
      <c r="N30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6" s="660"/>
      <c r="P306" s="660"/>
      <c r="Q306" s="461"/>
      <c r="R306" s="381"/>
      <c r="S306" s="37"/>
      <c r="T306" s="37"/>
      <c r="U306" s="37"/>
      <c r="V306" s="37"/>
      <c r="W306" s="37"/>
      <c r="X306" s="37"/>
      <c r="Y30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6" s="37"/>
      <c r="AA306" s="662" t="str">
        <f>IF(COUNTA(CCTSAS[[#This Row],[Nom]:[heures annuelles
selon contrat(s)]])=0,"",CCTSAS[[#This Row],[Total global]]-ABS(CCTSAS[[#This Row],[Dont non opposable]]))</f>
        <v/>
      </c>
      <c r="AB306" s="8"/>
      <c r="AC306" s="63"/>
      <c r="AD306" s="428"/>
      <c r="AE306" s="428"/>
      <c r="AF306" s="428"/>
      <c r="AG306" s="43"/>
      <c r="AH306" s="183" t="str">
        <f>IF(COUNTA(CCTSAS[[#This Row],[Nom]:[heures annuelles
selon contrat(s)]])=0,"",REVEX!$E$9)</f>
        <v/>
      </c>
      <c r="AI306" s="72" t="str">
        <f>IF(CCTSAS[[#This Row],[Allocation fonctions]]="","",IF(ISNA(VLOOKUP(CCTSAS[[#This Row],[Allocation fonctions]],DROPDOWN[Dropdown82],1,FALSE))=TRUE,"Veuillez utiliser les allocations parmis la liste déroulante.",""))</f>
        <v/>
      </c>
    </row>
    <row r="307" spans="1:35" x14ac:dyDescent="0.25">
      <c r="A307" s="72" t="str">
        <f>IF(CCTSAS[[#This Row],[Carrière]]="","",IF(ISNA(VLOOKUP(CCTSAS[[#This Row],[Carrière]],DROPDOWN[Dropdown9],1,FALSE))=TRUE,"Carrière: Utiliser la liste déroulante",""))</f>
        <v/>
      </c>
      <c r="B307" s="554" t="str">
        <f>IF(CCTSAS[[#This Row],[Matricule]]="","",MAX($B$7:B306)+1)</f>
        <v/>
      </c>
      <c r="C307" s="8"/>
      <c r="D307" s="8"/>
      <c r="E307" s="20"/>
      <c r="F307" s="63"/>
      <c r="G307" s="8"/>
      <c r="H307" s="8"/>
      <c r="I307" s="10"/>
      <c r="J307" s="10"/>
      <c r="K307" s="9"/>
      <c r="L307" s="9"/>
      <c r="M307" s="9"/>
      <c r="N30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7" s="660"/>
      <c r="P307" s="660"/>
      <c r="Q307" s="461"/>
      <c r="R307" s="381"/>
      <c r="S307" s="37"/>
      <c r="T307" s="37"/>
      <c r="U307" s="37"/>
      <c r="V307" s="37"/>
      <c r="W307" s="37"/>
      <c r="X307" s="37"/>
      <c r="Y30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7" s="37"/>
      <c r="AA307" s="662" t="str">
        <f>IF(COUNTA(CCTSAS[[#This Row],[Nom]:[heures annuelles
selon contrat(s)]])=0,"",CCTSAS[[#This Row],[Total global]]-ABS(CCTSAS[[#This Row],[Dont non opposable]]))</f>
        <v/>
      </c>
      <c r="AB307" s="8"/>
      <c r="AC307" s="63"/>
      <c r="AD307" s="428"/>
      <c r="AE307" s="428"/>
      <c r="AF307" s="428"/>
      <c r="AG307" s="43"/>
      <c r="AH307" s="183" t="str">
        <f>IF(COUNTA(CCTSAS[[#This Row],[Nom]:[heures annuelles
selon contrat(s)]])=0,"",REVEX!$E$9)</f>
        <v/>
      </c>
      <c r="AI307" s="72" t="str">
        <f>IF(CCTSAS[[#This Row],[Allocation fonctions]]="","",IF(ISNA(VLOOKUP(CCTSAS[[#This Row],[Allocation fonctions]],DROPDOWN[Dropdown82],1,FALSE))=TRUE,"Veuillez utiliser les allocations parmis la liste déroulante.",""))</f>
        <v/>
      </c>
    </row>
    <row r="308" spans="1:35" x14ac:dyDescent="0.25">
      <c r="A308" s="72" t="str">
        <f>IF(CCTSAS[[#This Row],[Carrière]]="","",IF(ISNA(VLOOKUP(CCTSAS[[#This Row],[Carrière]],DROPDOWN[Dropdown9],1,FALSE))=TRUE,"Carrière: Utiliser la liste déroulante",""))</f>
        <v/>
      </c>
      <c r="B308" s="554" t="str">
        <f>IF(CCTSAS[[#This Row],[Matricule]]="","",MAX($B$7:B307)+1)</f>
        <v/>
      </c>
      <c r="C308" s="8"/>
      <c r="D308" s="8"/>
      <c r="E308" s="20"/>
      <c r="F308" s="63"/>
      <c r="G308" s="8"/>
      <c r="H308" s="8"/>
      <c r="I308" s="10"/>
      <c r="J308" s="10"/>
      <c r="K308" s="9"/>
      <c r="L308" s="9"/>
      <c r="M308" s="9"/>
      <c r="N30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8" s="660"/>
      <c r="P308" s="660"/>
      <c r="Q308" s="461"/>
      <c r="R308" s="381"/>
      <c r="S308" s="37"/>
      <c r="T308" s="37"/>
      <c r="U308" s="37"/>
      <c r="V308" s="37"/>
      <c r="W308" s="37"/>
      <c r="X308" s="37"/>
      <c r="Y30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8" s="37"/>
      <c r="AA308" s="662" t="str">
        <f>IF(COUNTA(CCTSAS[[#This Row],[Nom]:[heures annuelles
selon contrat(s)]])=0,"",CCTSAS[[#This Row],[Total global]]-ABS(CCTSAS[[#This Row],[Dont non opposable]]))</f>
        <v/>
      </c>
      <c r="AB308" s="8"/>
      <c r="AC308" s="63"/>
      <c r="AD308" s="428"/>
      <c r="AE308" s="428"/>
      <c r="AF308" s="428"/>
      <c r="AG308" s="43"/>
      <c r="AH308" s="183" t="str">
        <f>IF(COUNTA(CCTSAS[[#This Row],[Nom]:[heures annuelles
selon contrat(s)]])=0,"",REVEX!$E$9)</f>
        <v/>
      </c>
      <c r="AI308" s="72" t="str">
        <f>IF(CCTSAS[[#This Row],[Allocation fonctions]]="","",IF(ISNA(VLOOKUP(CCTSAS[[#This Row],[Allocation fonctions]],DROPDOWN[Dropdown82],1,FALSE))=TRUE,"Veuillez utiliser les allocations parmis la liste déroulante.",""))</f>
        <v/>
      </c>
    </row>
    <row r="309" spans="1:35" x14ac:dyDescent="0.25">
      <c r="A309" s="72" t="str">
        <f>IF(CCTSAS[[#This Row],[Carrière]]="","",IF(ISNA(VLOOKUP(CCTSAS[[#This Row],[Carrière]],DROPDOWN[Dropdown9],1,FALSE))=TRUE,"Carrière: Utiliser la liste déroulante",""))</f>
        <v/>
      </c>
      <c r="B309" s="554" t="str">
        <f>IF(CCTSAS[[#This Row],[Matricule]]="","",MAX($B$7:B308)+1)</f>
        <v/>
      </c>
      <c r="C309" s="8"/>
      <c r="D309" s="8"/>
      <c r="E309" s="20"/>
      <c r="F309" s="63"/>
      <c r="G309" s="8"/>
      <c r="H309" s="8"/>
      <c r="I309" s="10"/>
      <c r="J309" s="10"/>
      <c r="K309" s="9"/>
      <c r="L309" s="9"/>
      <c r="M309" s="9"/>
      <c r="N30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09" s="660"/>
      <c r="P309" s="660"/>
      <c r="Q309" s="461"/>
      <c r="R309" s="381"/>
      <c r="S309" s="37"/>
      <c r="T309" s="37"/>
      <c r="U309" s="37"/>
      <c r="V309" s="37"/>
      <c r="W309" s="37"/>
      <c r="X309" s="37"/>
      <c r="Y30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09" s="37"/>
      <c r="AA309" s="662" t="str">
        <f>IF(COUNTA(CCTSAS[[#This Row],[Nom]:[heures annuelles
selon contrat(s)]])=0,"",CCTSAS[[#This Row],[Total global]]-ABS(CCTSAS[[#This Row],[Dont non opposable]]))</f>
        <v/>
      </c>
      <c r="AB309" s="8"/>
      <c r="AC309" s="63"/>
      <c r="AD309" s="428"/>
      <c r="AE309" s="428"/>
      <c r="AF309" s="428"/>
      <c r="AG309" s="43"/>
      <c r="AH309" s="183" t="str">
        <f>IF(COUNTA(CCTSAS[[#This Row],[Nom]:[heures annuelles
selon contrat(s)]])=0,"",REVEX!$E$9)</f>
        <v/>
      </c>
      <c r="AI309" s="72" t="str">
        <f>IF(CCTSAS[[#This Row],[Allocation fonctions]]="","",IF(ISNA(VLOOKUP(CCTSAS[[#This Row],[Allocation fonctions]],DROPDOWN[Dropdown82],1,FALSE))=TRUE,"Veuillez utiliser les allocations parmis la liste déroulante.",""))</f>
        <v/>
      </c>
    </row>
    <row r="310" spans="1:35" x14ac:dyDescent="0.25">
      <c r="A310" s="72" t="str">
        <f>IF(CCTSAS[[#This Row],[Carrière]]="","",IF(ISNA(VLOOKUP(CCTSAS[[#This Row],[Carrière]],DROPDOWN[Dropdown9],1,FALSE))=TRUE,"Carrière: Utiliser la liste déroulante",""))</f>
        <v/>
      </c>
      <c r="B310" s="554" t="str">
        <f>IF(CCTSAS[[#This Row],[Matricule]]="","",MAX($B$7:B309)+1)</f>
        <v/>
      </c>
      <c r="C310" s="8"/>
      <c r="D310" s="8"/>
      <c r="E310" s="20"/>
      <c r="F310" s="63"/>
      <c r="G310" s="8"/>
      <c r="H310" s="8"/>
      <c r="I310" s="10"/>
      <c r="J310" s="10"/>
      <c r="K310" s="9"/>
      <c r="L310" s="9"/>
      <c r="M310" s="9"/>
      <c r="N31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0" s="660"/>
      <c r="P310" s="660"/>
      <c r="Q310" s="461"/>
      <c r="R310" s="381"/>
      <c r="S310" s="37"/>
      <c r="T310" s="37"/>
      <c r="U310" s="37"/>
      <c r="V310" s="37"/>
      <c r="W310" s="37"/>
      <c r="X310" s="37"/>
      <c r="Y31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0" s="37"/>
      <c r="AA310" s="662" t="str">
        <f>IF(COUNTA(CCTSAS[[#This Row],[Nom]:[heures annuelles
selon contrat(s)]])=0,"",CCTSAS[[#This Row],[Total global]]-ABS(CCTSAS[[#This Row],[Dont non opposable]]))</f>
        <v/>
      </c>
      <c r="AB310" s="8"/>
      <c r="AC310" s="63"/>
      <c r="AD310" s="428"/>
      <c r="AE310" s="428"/>
      <c r="AF310" s="428"/>
      <c r="AG310" s="43"/>
      <c r="AH310" s="183" t="str">
        <f>IF(COUNTA(CCTSAS[[#This Row],[Nom]:[heures annuelles
selon contrat(s)]])=0,"",REVEX!$E$9)</f>
        <v/>
      </c>
      <c r="AI310" s="72" t="str">
        <f>IF(CCTSAS[[#This Row],[Allocation fonctions]]="","",IF(ISNA(VLOOKUP(CCTSAS[[#This Row],[Allocation fonctions]],DROPDOWN[Dropdown82],1,FALSE))=TRUE,"Veuillez utiliser les allocations parmis la liste déroulante.",""))</f>
        <v/>
      </c>
    </row>
    <row r="311" spans="1:35" x14ac:dyDescent="0.25">
      <c r="A311" s="72" t="str">
        <f>IF(CCTSAS[[#This Row],[Carrière]]="","",IF(ISNA(VLOOKUP(CCTSAS[[#This Row],[Carrière]],DROPDOWN[Dropdown9],1,FALSE))=TRUE,"Carrière: Utiliser la liste déroulante",""))</f>
        <v/>
      </c>
      <c r="B311" s="554" t="str">
        <f>IF(CCTSAS[[#This Row],[Matricule]]="","",MAX($B$7:B310)+1)</f>
        <v/>
      </c>
      <c r="C311" s="8"/>
      <c r="D311" s="8"/>
      <c r="E311" s="20"/>
      <c r="F311" s="63"/>
      <c r="G311" s="8"/>
      <c r="H311" s="8"/>
      <c r="I311" s="10"/>
      <c r="J311" s="10"/>
      <c r="K311" s="9"/>
      <c r="L311" s="9"/>
      <c r="M311" s="9"/>
      <c r="N31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1" s="660"/>
      <c r="P311" s="660"/>
      <c r="Q311" s="461"/>
      <c r="R311" s="381"/>
      <c r="S311" s="37"/>
      <c r="T311" s="37"/>
      <c r="U311" s="37"/>
      <c r="V311" s="37"/>
      <c r="W311" s="37"/>
      <c r="X311" s="37"/>
      <c r="Y31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1" s="37"/>
      <c r="AA311" s="662" t="str">
        <f>IF(COUNTA(CCTSAS[[#This Row],[Nom]:[heures annuelles
selon contrat(s)]])=0,"",CCTSAS[[#This Row],[Total global]]-ABS(CCTSAS[[#This Row],[Dont non opposable]]))</f>
        <v/>
      </c>
      <c r="AB311" s="8"/>
      <c r="AC311" s="63"/>
      <c r="AD311" s="428"/>
      <c r="AE311" s="428"/>
      <c r="AF311" s="428"/>
      <c r="AG311" s="43"/>
      <c r="AH311" s="183" t="str">
        <f>IF(COUNTA(CCTSAS[[#This Row],[Nom]:[heures annuelles
selon contrat(s)]])=0,"",REVEX!$E$9)</f>
        <v/>
      </c>
      <c r="AI311" s="72" t="str">
        <f>IF(CCTSAS[[#This Row],[Allocation fonctions]]="","",IF(ISNA(VLOOKUP(CCTSAS[[#This Row],[Allocation fonctions]],DROPDOWN[Dropdown82],1,FALSE))=TRUE,"Veuillez utiliser les allocations parmis la liste déroulante.",""))</f>
        <v/>
      </c>
    </row>
    <row r="312" spans="1:35" x14ac:dyDescent="0.25">
      <c r="A312" s="72" t="str">
        <f>IF(CCTSAS[[#This Row],[Carrière]]="","",IF(ISNA(VLOOKUP(CCTSAS[[#This Row],[Carrière]],DROPDOWN[Dropdown9],1,FALSE))=TRUE,"Carrière: Utiliser la liste déroulante",""))</f>
        <v/>
      </c>
      <c r="B312" s="554" t="str">
        <f>IF(CCTSAS[[#This Row],[Matricule]]="","",MAX($B$7:B311)+1)</f>
        <v/>
      </c>
      <c r="C312" s="8"/>
      <c r="D312" s="8"/>
      <c r="E312" s="20"/>
      <c r="F312" s="63"/>
      <c r="G312" s="8"/>
      <c r="H312" s="8"/>
      <c r="I312" s="10"/>
      <c r="J312" s="10"/>
      <c r="K312" s="9"/>
      <c r="L312" s="9"/>
      <c r="M312" s="9"/>
      <c r="N31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2" s="660"/>
      <c r="P312" s="660"/>
      <c r="Q312" s="461"/>
      <c r="R312" s="381"/>
      <c r="S312" s="37"/>
      <c r="T312" s="37"/>
      <c r="U312" s="37"/>
      <c r="V312" s="37"/>
      <c r="W312" s="37"/>
      <c r="X312" s="37"/>
      <c r="Y31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2" s="37"/>
      <c r="AA312" s="662" t="str">
        <f>IF(COUNTA(CCTSAS[[#This Row],[Nom]:[heures annuelles
selon contrat(s)]])=0,"",CCTSAS[[#This Row],[Total global]]-ABS(CCTSAS[[#This Row],[Dont non opposable]]))</f>
        <v/>
      </c>
      <c r="AB312" s="8"/>
      <c r="AC312" s="63"/>
      <c r="AD312" s="428"/>
      <c r="AE312" s="428"/>
      <c r="AF312" s="428"/>
      <c r="AG312" s="43"/>
      <c r="AH312" s="183" t="str">
        <f>IF(COUNTA(CCTSAS[[#This Row],[Nom]:[heures annuelles
selon contrat(s)]])=0,"",REVEX!$E$9)</f>
        <v/>
      </c>
      <c r="AI312" s="72" t="str">
        <f>IF(CCTSAS[[#This Row],[Allocation fonctions]]="","",IF(ISNA(VLOOKUP(CCTSAS[[#This Row],[Allocation fonctions]],DROPDOWN[Dropdown82],1,FALSE))=TRUE,"Veuillez utiliser les allocations parmis la liste déroulante.",""))</f>
        <v/>
      </c>
    </row>
    <row r="313" spans="1:35" x14ac:dyDescent="0.25">
      <c r="A313" s="72" t="str">
        <f>IF(CCTSAS[[#This Row],[Carrière]]="","",IF(ISNA(VLOOKUP(CCTSAS[[#This Row],[Carrière]],DROPDOWN[Dropdown9],1,FALSE))=TRUE,"Carrière: Utiliser la liste déroulante",""))</f>
        <v/>
      </c>
      <c r="B313" s="554" t="str">
        <f>IF(CCTSAS[[#This Row],[Matricule]]="","",MAX($B$7:B312)+1)</f>
        <v/>
      </c>
      <c r="C313" s="8"/>
      <c r="D313" s="8"/>
      <c r="E313" s="20"/>
      <c r="F313" s="63"/>
      <c r="G313" s="8"/>
      <c r="H313" s="8"/>
      <c r="I313" s="10"/>
      <c r="J313" s="10"/>
      <c r="K313" s="9"/>
      <c r="L313" s="9"/>
      <c r="M313" s="9"/>
      <c r="N31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3" s="660"/>
      <c r="P313" s="660"/>
      <c r="Q313" s="461"/>
      <c r="R313" s="381"/>
      <c r="S313" s="37"/>
      <c r="T313" s="37"/>
      <c r="U313" s="37"/>
      <c r="V313" s="37"/>
      <c r="W313" s="37"/>
      <c r="X313" s="37"/>
      <c r="Y31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3" s="37"/>
      <c r="AA313" s="662" t="str">
        <f>IF(COUNTA(CCTSAS[[#This Row],[Nom]:[heures annuelles
selon contrat(s)]])=0,"",CCTSAS[[#This Row],[Total global]]-ABS(CCTSAS[[#This Row],[Dont non opposable]]))</f>
        <v/>
      </c>
      <c r="AB313" s="8"/>
      <c r="AC313" s="63"/>
      <c r="AD313" s="428"/>
      <c r="AE313" s="428"/>
      <c r="AF313" s="428"/>
      <c r="AG313" s="43"/>
      <c r="AH313" s="183" t="str">
        <f>IF(COUNTA(CCTSAS[[#This Row],[Nom]:[heures annuelles
selon contrat(s)]])=0,"",REVEX!$E$9)</f>
        <v/>
      </c>
      <c r="AI313" s="72" t="str">
        <f>IF(CCTSAS[[#This Row],[Allocation fonctions]]="","",IF(ISNA(VLOOKUP(CCTSAS[[#This Row],[Allocation fonctions]],DROPDOWN[Dropdown82],1,FALSE))=TRUE,"Veuillez utiliser les allocations parmis la liste déroulante.",""))</f>
        <v/>
      </c>
    </row>
    <row r="314" spans="1:35" x14ac:dyDescent="0.25">
      <c r="A314" s="72" t="str">
        <f>IF(CCTSAS[[#This Row],[Carrière]]="","",IF(ISNA(VLOOKUP(CCTSAS[[#This Row],[Carrière]],DROPDOWN[Dropdown9],1,FALSE))=TRUE,"Carrière: Utiliser la liste déroulante",""))</f>
        <v/>
      </c>
      <c r="B314" s="554" t="str">
        <f>IF(CCTSAS[[#This Row],[Matricule]]="","",MAX($B$7:B313)+1)</f>
        <v/>
      </c>
      <c r="C314" s="8"/>
      <c r="D314" s="8"/>
      <c r="E314" s="20"/>
      <c r="F314" s="63"/>
      <c r="G314" s="8"/>
      <c r="H314" s="8"/>
      <c r="I314" s="10"/>
      <c r="J314" s="10"/>
      <c r="K314" s="9"/>
      <c r="L314" s="9"/>
      <c r="M314" s="9"/>
      <c r="N31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4" s="660"/>
      <c r="P314" s="660"/>
      <c r="Q314" s="461"/>
      <c r="R314" s="381"/>
      <c r="S314" s="37"/>
      <c r="T314" s="37"/>
      <c r="U314" s="37"/>
      <c r="V314" s="37"/>
      <c r="W314" s="37"/>
      <c r="X314" s="37"/>
      <c r="Y31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4" s="37"/>
      <c r="AA314" s="662" t="str">
        <f>IF(COUNTA(CCTSAS[[#This Row],[Nom]:[heures annuelles
selon contrat(s)]])=0,"",CCTSAS[[#This Row],[Total global]]-ABS(CCTSAS[[#This Row],[Dont non opposable]]))</f>
        <v/>
      </c>
      <c r="AB314" s="8"/>
      <c r="AC314" s="63"/>
      <c r="AD314" s="428"/>
      <c r="AE314" s="428"/>
      <c r="AF314" s="428"/>
      <c r="AG314" s="43"/>
      <c r="AH314" s="183" t="str">
        <f>IF(COUNTA(CCTSAS[[#This Row],[Nom]:[heures annuelles
selon contrat(s)]])=0,"",REVEX!$E$9)</f>
        <v/>
      </c>
      <c r="AI314" s="72" t="str">
        <f>IF(CCTSAS[[#This Row],[Allocation fonctions]]="","",IF(ISNA(VLOOKUP(CCTSAS[[#This Row],[Allocation fonctions]],DROPDOWN[Dropdown82],1,FALSE))=TRUE,"Veuillez utiliser les allocations parmis la liste déroulante.",""))</f>
        <v/>
      </c>
    </row>
    <row r="315" spans="1:35" x14ac:dyDescent="0.25">
      <c r="A315" s="72" t="str">
        <f>IF(CCTSAS[[#This Row],[Carrière]]="","",IF(ISNA(VLOOKUP(CCTSAS[[#This Row],[Carrière]],DROPDOWN[Dropdown9],1,FALSE))=TRUE,"Carrière: Utiliser la liste déroulante",""))</f>
        <v/>
      </c>
      <c r="B315" s="554" t="str">
        <f>IF(CCTSAS[[#This Row],[Matricule]]="","",MAX($B$7:B314)+1)</f>
        <v/>
      </c>
      <c r="C315" s="8"/>
      <c r="D315" s="8"/>
      <c r="E315" s="20"/>
      <c r="F315" s="63"/>
      <c r="G315" s="8"/>
      <c r="H315" s="8"/>
      <c r="I315" s="10"/>
      <c r="J315" s="10"/>
      <c r="K315" s="9"/>
      <c r="L315" s="9"/>
      <c r="M315" s="9"/>
      <c r="N31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5" s="660"/>
      <c r="P315" s="660"/>
      <c r="Q315" s="461"/>
      <c r="R315" s="381"/>
      <c r="S315" s="37"/>
      <c r="T315" s="37"/>
      <c r="U315" s="37"/>
      <c r="V315" s="37"/>
      <c r="W315" s="37"/>
      <c r="X315" s="37"/>
      <c r="Y31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5" s="37"/>
      <c r="AA315" s="662" t="str">
        <f>IF(COUNTA(CCTSAS[[#This Row],[Nom]:[heures annuelles
selon contrat(s)]])=0,"",CCTSAS[[#This Row],[Total global]]-ABS(CCTSAS[[#This Row],[Dont non opposable]]))</f>
        <v/>
      </c>
      <c r="AB315" s="8"/>
      <c r="AC315" s="63"/>
      <c r="AD315" s="428"/>
      <c r="AE315" s="428"/>
      <c r="AF315" s="428"/>
      <c r="AG315" s="43"/>
      <c r="AH315" s="183" t="str">
        <f>IF(COUNTA(CCTSAS[[#This Row],[Nom]:[heures annuelles
selon contrat(s)]])=0,"",REVEX!$E$9)</f>
        <v/>
      </c>
      <c r="AI315" s="72" t="str">
        <f>IF(CCTSAS[[#This Row],[Allocation fonctions]]="","",IF(ISNA(VLOOKUP(CCTSAS[[#This Row],[Allocation fonctions]],DROPDOWN[Dropdown82],1,FALSE))=TRUE,"Veuillez utiliser les allocations parmis la liste déroulante.",""))</f>
        <v/>
      </c>
    </row>
    <row r="316" spans="1:35" x14ac:dyDescent="0.25">
      <c r="A316" s="72" t="str">
        <f>IF(CCTSAS[[#This Row],[Carrière]]="","",IF(ISNA(VLOOKUP(CCTSAS[[#This Row],[Carrière]],DROPDOWN[Dropdown9],1,FALSE))=TRUE,"Carrière: Utiliser la liste déroulante",""))</f>
        <v/>
      </c>
      <c r="B316" s="554" t="str">
        <f>IF(CCTSAS[[#This Row],[Matricule]]="","",MAX($B$7:B315)+1)</f>
        <v/>
      </c>
      <c r="C316" s="8"/>
      <c r="D316" s="8"/>
      <c r="E316" s="20"/>
      <c r="F316" s="63"/>
      <c r="G316" s="8"/>
      <c r="H316" s="8"/>
      <c r="I316" s="10"/>
      <c r="J316" s="10"/>
      <c r="K316" s="9"/>
      <c r="L316" s="9"/>
      <c r="M316" s="9"/>
      <c r="N31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6" s="660"/>
      <c r="P316" s="660"/>
      <c r="Q316" s="461"/>
      <c r="R316" s="381"/>
      <c r="S316" s="37"/>
      <c r="T316" s="37"/>
      <c r="U316" s="37"/>
      <c r="V316" s="37"/>
      <c r="W316" s="37"/>
      <c r="X316" s="37"/>
      <c r="Y31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6" s="37"/>
      <c r="AA316" s="662" t="str">
        <f>IF(COUNTA(CCTSAS[[#This Row],[Nom]:[heures annuelles
selon contrat(s)]])=0,"",CCTSAS[[#This Row],[Total global]]-ABS(CCTSAS[[#This Row],[Dont non opposable]]))</f>
        <v/>
      </c>
      <c r="AB316" s="8"/>
      <c r="AC316" s="63"/>
      <c r="AD316" s="428"/>
      <c r="AE316" s="428"/>
      <c r="AF316" s="428"/>
      <c r="AG316" s="43"/>
      <c r="AH316" s="183" t="str">
        <f>IF(COUNTA(CCTSAS[[#This Row],[Nom]:[heures annuelles
selon contrat(s)]])=0,"",REVEX!$E$9)</f>
        <v/>
      </c>
      <c r="AI316" s="72" t="str">
        <f>IF(CCTSAS[[#This Row],[Allocation fonctions]]="","",IF(ISNA(VLOOKUP(CCTSAS[[#This Row],[Allocation fonctions]],DROPDOWN[Dropdown82],1,FALSE))=TRUE,"Veuillez utiliser les allocations parmis la liste déroulante.",""))</f>
        <v/>
      </c>
    </row>
    <row r="317" spans="1:35" x14ac:dyDescent="0.25">
      <c r="A317" s="72" t="str">
        <f>IF(CCTSAS[[#This Row],[Carrière]]="","",IF(ISNA(VLOOKUP(CCTSAS[[#This Row],[Carrière]],DROPDOWN[Dropdown9],1,FALSE))=TRUE,"Carrière: Utiliser la liste déroulante",""))</f>
        <v/>
      </c>
      <c r="B317" s="554" t="str">
        <f>IF(CCTSAS[[#This Row],[Matricule]]="","",MAX($B$7:B316)+1)</f>
        <v/>
      </c>
      <c r="C317" s="8"/>
      <c r="D317" s="8"/>
      <c r="E317" s="20"/>
      <c r="F317" s="63"/>
      <c r="G317" s="8"/>
      <c r="H317" s="8"/>
      <c r="I317" s="10"/>
      <c r="J317" s="10"/>
      <c r="K317" s="9"/>
      <c r="L317" s="9"/>
      <c r="M317" s="9"/>
      <c r="N31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7" s="660"/>
      <c r="P317" s="660"/>
      <c r="Q317" s="461"/>
      <c r="R317" s="381"/>
      <c r="S317" s="37"/>
      <c r="T317" s="37"/>
      <c r="U317" s="37"/>
      <c r="V317" s="37"/>
      <c r="W317" s="37"/>
      <c r="X317" s="37"/>
      <c r="Y31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7" s="37"/>
      <c r="AA317" s="662" t="str">
        <f>IF(COUNTA(CCTSAS[[#This Row],[Nom]:[heures annuelles
selon contrat(s)]])=0,"",CCTSAS[[#This Row],[Total global]]-ABS(CCTSAS[[#This Row],[Dont non opposable]]))</f>
        <v/>
      </c>
      <c r="AB317" s="8"/>
      <c r="AC317" s="63"/>
      <c r="AD317" s="428"/>
      <c r="AE317" s="428"/>
      <c r="AF317" s="428"/>
      <c r="AG317" s="43"/>
      <c r="AH317" s="183" t="str">
        <f>IF(COUNTA(CCTSAS[[#This Row],[Nom]:[heures annuelles
selon contrat(s)]])=0,"",REVEX!$E$9)</f>
        <v/>
      </c>
      <c r="AI317" s="72" t="str">
        <f>IF(CCTSAS[[#This Row],[Allocation fonctions]]="","",IF(ISNA(VLOOKUP(CCTSAS[[#This Row],[Allocation fonctions]],DROPDOWN[Dropdown82],1,FALSE))=TRUE,"Veuillez utiliser les allocations parmis la liste déroulante.",""))</f>
        <v/>
      </c>
    </row>
    <row r="318" spans="1:35" x14ac:dyDescent="0.25">
      <c r="A318" s="72" t="str">
        <f>IF(CCTSAS[[#This Row],[Carrière]]="","",IF(ISNA(VLOOKUP(CCTSAS[[#This Row],[Carrière]],DROPDOWN[Dropdown9],1,FALSE))=TRUE,"Carrière: Utiliser la liste déroulante",""))</f>
        <v/>
      </c>
      <c r="B318" s="554" t="str">
        <f>IF(CCTSAS[[#This Row],[Matricule]]="","",MAX($B$7:B317)+1)</f>
        <v/>
      </c>
      <c r="C318" s="8"/>
      <c r="D318" s="8"/>
      <c r="E318" s="20"/>
      <c r="F318" s="63"/>
      <c r="G318" s="8"/>
      <c r="H318" s="8"/>
      <c r="I318" s="10"/>
      <c r="J318" s="10"/>
      <c r="K318" s="9"/>
      <c r="L318" s="9"/>
      <c r="M318" s="9"/>
      <c r="N31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8" s="660"/>
      <c r="P318" s="660"/>
      <c r="Q318" s="461"/>
      <c r="R318" s="381"/>
      <c r="S318" s="37"/>
      <c r="T318" s="37"/>
      <c r="U318" s="37"/>
      <c r="V318" s="37"/>
      <c r="W318" s="37"/>
      <c r="X318" s="37"/>
      <c r="Y31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8" s="37"/>
      <c r="AA318" s="662" t="str">
        <f>IF(COUNTA(CCTSAS[[#This Row],[Nom]:[heures annuelles
selon contrat(s)]])=0,"",CCTSAS[[#This Row],[Total global]]-ABS(CCTSAS[[#This Row],[Dont non opposable]]))</f>
        <v/>
      </c>
      <c r="AB318" s="8"/>
      <c r="AC318" s="63"/>
      <c r="AD318" s="428"/>
      <c r="AE318" s="428"/>
      <c r="AF318" s="428"/>
      <c r="AG318" s="43"/>
      <c r="AH318" s="183" t="str">
        <f>IF(COUNTA(CCTSAS[[#This Row],[Nom]:[heures annuelles
selon contrat(s)]])=0,"",REVEX!$E$9)</f>
        <v/>
      </c>
      <c r="AI318" s="72" t="str">
        <f>IF(CCTSAS[[#This Row],[Allocation fonctions]]="","",IF(ISNA(VLOOKUP(CCTSAS[[#This Row],[Allocation fonctions]],DROPDOWN[Dropdown82],1,FALSE))=TRUE,"Veuillez utiliser les allocations parmis la liste déroulante.",""))</f>
        <v/>
      </c>
    </row>
    <row r="319" spans="1:35" x14ac:dyDescent="0.25">
      <c r="A319" s="72" t="str">
        <f>IF(CCTSAS[[#This Row],[Carrière]]="","",IF(ISNA(VLOOKUP(CCTSAS[[#This Row],[Carrière]],DROPDOWN[Dropdown9],1,FALSE))=TRUE,"Carrière: Utiliser la liste déroulante",""))</f>
        <v/>
      </c>
      <c r="B319" s="554" t="str">
        <f>IF(CCTSAS[[#This Row],[Matricule]]="","",MAX($B$7:B318)+1)</f>
        <v/>
      </c>
      <c r="C319" s="8"/>
      <c r="D319" s="8"/>
      <c r="E319" s="20"/>
      <c r="F319" s="63"/>
      <c r="G319" s="8"/>
      <c r="H319" s="8"/>
      <c r="I319" s="10"/>
      <c r="J319" s="10"/>
      <c r="K319" s="9"/>
      <c r="L319" s="9"/>
      <c r="M319" s="9"/>
      <c r="N31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19" s="660"/>
      <c r="P319" s="660"/>
      <c r="Q319" s="461"/>
      <c r="R319" s="381"/>
      <c r="S319" s="37"/>
      <c r="T319" s="37"/>
      <c r="U319" s="37"/>
      <c r="V319" s="37"/>
      <c r="W319" s="37"/>
      <c r="X319" s="37"/>
      <c r="Y31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19" s="37"/>
      <c r="AA319" s="662" t="str">
        <f>IF(COUNTA(CCTSAS[[#This Row],[Nom]:[heures annuelles
selon contrat(s)]])=0,"",CCTSAS[[#This Row],[Total global]]-ABS(CCTSAS[[#This Row],[Dont non opposable]]))</f>
        <v/>
      </c>
      <c r="AB319" s="8"/>
      <c r="AC319" s="63"/>
      <c r="AD319" s="428"/>
      <c r="AE319" s="428"/>
      <c r="AF319" s="428"/>
      <c r="AG319" s="43"/>
      <c r="AH319" s="183" t="str">
        <f>IF(COUNTA(CCTSAS[[#This Row],[Nom]:[heures annuelles
selon contrat(s)]])=0,"",REVEX!$E$9)</f>
        <v/>
      </c>
      <c r="AI319" s="72" t="str">
        <f>IF(CCTSAS[[#This Row],[Allocation fonctions]]="","",IF(ISNA(VLOOKUP(CCTSAS[[#This Row],[Allocation fonctions]],DROPDOWN[Dropdown82],1,FALSE))=TRUE,"Veuillez utiliser les allocations parmis la liste déroulante.",""))</f>
        <v/>
      </c>
    </row>
    <row r="320" spans="1:35" x14ac:dyDescent="0.25">
      <c r="A320" s="72" t="str">
        <f>IF(CCTSAS[[#This Row],[Carrière]]="","",IF(ISNA(VLOOKUP(CCTSAS[[#This Row],[Carrière]],DROPDOWN[Dropdown9],1,FALSE))=TRUE,"Carrière: Utiliser la liste déroulante",""))</f>
        <v/>
      </c>
      <c r="B320" s="554" t="str">
        <f>IF(CCTSAS[[#This Row],[Matricule]]="","",MAX($B$7:B319)+1)</f>
        <v/>
      </c>
      <c r="C320" s="8"/>
      <c r="D320" s="8"/>
      <c r="E320" s="20"/>
      <c r="F320" s="63"/>
      <c r="G320" s="8"/>
      <c r="H320" s="8"/>
      <c r="I320" s="10"/>
      <c r="J320" s="10"/>
      <c r="K320" s="9"/>
      <c r="L320" s="9"/>
      <c r="M320" s="9"/>
      <c r="N32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0" s="660"/>
      <c r="P320" s="660"/>
      <c r="Q320" s="461"/>
      <c r="R320" s="381"/>
      <c r="S320" s="37"/>
      <c r="T320" s="37"/>
      <c r="U320" s="37"/>
      <c r="V320" s="37"/>
      <c r="W320" s="37"/>
      <c r="X320" s="37"/>
      <c r="Y32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0" s="37"/>
      <c r="AA320" s="662" t="str">
        <f>IF(COUNTA(CCTSAS[[#This Row],[Nom]:[heures annuelles
selon contrat(s)]])=0,"",CCTSAS[[#This Row],[Total global]]-ABS(CCTSAS[[#This Row],[Dont non opposable]]))</f>
        <v/>
      </c>
      <c r="AB320" s="8"/>
      <c r="AC320" s="63"/>
      <c r="AD320" s="428"/>
      <c r="AE320" s="428"/>
      <c r="AF320" s="428"/>
      <c r="AG320" s="43"/>
      <c r="AH320" s="183" t="str">
        <f>IF(COUNTA(CCTSAS[[#This Row],[Nom]:[heures annuelles
selon contrat(s)]])=0,"",REVEX!$E$9)</f>
        <v/>
      </c>
      <c r="AI320" s="72" t="str">
        <f>IF(CCTSAS[[#This Row],[Allocation fonctions]]="","",IF(ISNA(VLOOKUP(CCTSAS[[#This Row],[Allocation fonctions]],DROPDOWN[Dropdown82],1,FALSE))=TRUE,"Veuillez utiliser les allocations parmis la liste déroulante.",""))</f>
        <v/>
      </c>
    </row>
    <row r="321" spans="1:35" x14ac:dyDescent="0.25">
      <c r="A321" s="72" t="str">
        <f>IF(CCTSAS[[#This Row],[Carrière]]="","",IF(ISNA(VLOOKUP(CCTSAS[[#This Row],[Carrière]],DROPDOWN[Dropdown9],1,FALSE))=TRUE,"Carrière: Utiliser la liste déroulante",""))</f>
        <v/>
      </c>
      <c r="B321" s="554" t="str">
        <f>IF(CCTSAS[[#This Row],[Matricule]]="","",MAX($B$7:B320)+1)</f>
        <v/>
      </c>
      <c r="C321" s="8"/>
      <c r="D321" s="8"/>
      <c r="E321" s="20"/>
      <c r="F321" s="63"/>
      <c r="G321" s="8"/>
      <c r="H321" s="8"/>
      <c r="I321" s="10"/>
      <c r="J321" s="10"/>
      <c r="K321" s="9"/>
      <c r="L321" s="9"/>
      <c r="M321" s="9"/>
      <c r="N32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1" s="660"/>
      <c r="P321" s="660"/>
      <c r="Q321" s="461"/>
      <c r="R321" s="381"/>
      <c r="S321" s="37"/>
      <c r="T321" s="37"/>
      <c r="U321" s="37"/>
      <c r="V321" s="37"/>
      <c r="W321" s="37"/>
      <c r="X321" s="37"/>
      <c r="Y32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1" s="37"/>
      <c r="AA321" s="662" t="str">
        <f>IF(COUNTA(CCTSAS[[#This Row],[Nom]:[heures annuelles
selon contrat(s)]])=0,"",CCTSAS[[#This Row],[Total global]]-ABS(CCTSAS[[#This Row],[Dont non opposable]]))</f>
        <v/>
      </c>
      <c r="AB321" s="8"/>
      <c r="AC321" s="63"/>
      <c r="AD321" s="428"/>
      <c r="AE321" s="428"/>
      <c r="AF321" s="428"/>
      <c r="AG321" s="43"/>
      <c r="AH321" s="183" t="str">
        <f>IF(COUNTA(CCTSAS[[#This Row],[Nom]:[heures annuelles
selon contrat(s)]])=0,"",REVEX!$E$9)</f>
        <v/>
      </c>
      <c r="AI321" s="72" t="str">
        <f>IF(CCTSAS[[#This Row],[Allocation fonctions]]="","",IF(ISNA(VLOOKUP(CCTSAS[[#This Row],[Allocation fonctions]],DROPDOWN[Dropdown82],1,FALSE))=TRUE,"Veuillez utiliser les allocations parmis la liste déroulante.",""))</f>
        <v/>
      </c>
    </row>
    <row r="322" spans="1:35" x14ac:dyDescent="0.25">
      <c r="A322" s="72" t="str">
        <f>IF(CCTSAS[[#This Row],[Carrière]]="","",IF(ISNA(VLOOKUP(CCTSAS[[#This Row],[Carrière]],DROPDOWN[Dropdown9],1,FALSE))=TRUE,"Carrière: Utiliser la liste déroulante",""))</f>
        <v/>
      </c>
      <c r="B322" s="554" t="str">
        <f>IF(CCTSAS[[#This Row],[Matricule]]="","",MAX($B$7:B321)+1)</f>
        <v/>
      </c>
      <c r="C322" s="8"/>
      <c r="D322" s="8"/>
      <c r="E322" s="20"/>
      <c r="F322" s="63"/>
      <c r="G322" s="8"/>
      <c r="H322" s="8"/>
      <c r="I322" s="10"/>
      <c r="J322" s="10"/>
      <c r="K322" s="9"/>
      <c r="L322" s="9"/>
      <c r="M322" s="9"/>
      <c r="N32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2" s="660"/>
      <c r="P322" s="660"/>
      <c r="Q322" s="461"/>
      <c r="R322" s="381"/>
      <c r="S322" s="37"/>
      <c r="T322" s="37"/>
      <c r="U322" s="37"/>
      <c r="V322" s="37"/>
      <c r="W322" s="37"/>
      <c r="X322" s="37"/>
      <c r="Y32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2" s="37"/>
      <c r="AA322" s="662" t="str">
        <f>IF(COUNTA(CCTSAS[[#This Row],[Nom]:[heures annuelles
selon contrat(s)]])=0,"",CCTSAS[[#This Row],[Total global]]-ABS(CCTSAS[[#This Row],[Dont non opposable]]))</f>
        <v/>
      </c>
      <c r="AB322" s="8"/>
      <c r="AC322" s="63"/>
      <c r="AD322" s="428"/>
      <c r="AE322" s="428"/>
      <c r="AF322" s="428"/>
      <c r="AG322" s="43"/>
      <c r="AH322" s="183" t="str">
        <f>IF(COUNTA(CCTSAS[[#This Row],[Nom]:[heures annuelles
selon contrat(s)]])=0,"",REVEX!$E$9)</f>
        <v/>
      </c>
      <c r="AI322" s="72" t="str">
        <f>IF(CCTSAS[[#This Row],[Allocation fonctions]]="","",IF(ISNA(VLOOKUP(CCTSAS[[#This Row],[Allocation fonctions]],DROPDOWN[Dropdown82],1,FALSE))=TRUE,"Veuillez utiliser les allocations parmis la liste déroulante.",""))</f>
        <v/>
      </c>
    </row>
    <row r="323" spans="1:35" x14ac:dyDescent="0.25">
      <c r="A323" s="72" t="str">
        <f>IF(CCTSAS[[#This Row],[Carrière]]="","",IF(ISNA(VLOOKUP(CCTSAS[[#This Row],[Carrière]],DROPDOWN[Dropdown9],1,FALSE))=TRUE,"Carrière: Utiliser la liste déroulante",""))</f>
        <v/>
      </c>
      <c r="B323" s="554" t="str">
        <f>IF(CCTSAS[[#This Row],[Matricule]]="","",MAX($B$7:B322)+1)</f>
        <v/>
      </c>
      <c r="C323" s="8"/>
      <c r="D323" s="8"/>
      <c r="E323" s="20"/>
      <c r="F323" s="63"/>
      <c r="G323" s="8"/>
      <c r="H323" s="8"/>
      <c r="I323" s="10"/>
      <c r="J323" s="10"/>
      <c r="K323" s="9"/>
      <c r="L323" s="9"/>
      <c r="M323" s="9"/>
      <c r="N32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3" s="660"/>
      <c r="P323" s="660"/>
      <c r="Q323" s="461"/>
      <c r="R323" s="381"/>
      <c r="S323" s="37"/>
      <c r="T323" s="37"/>
      <c r="U323" s="37"/>
      <c r="V323" s="37"/>
      <c r="W323" s="37"/>
      <c r="X323" s="37"/>
      <c r="Y32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3" s="37"/>
      <c r="AA323" s="662" t="str">
        <f>IF(COUNTA(CCTSAS[[#This Row],[Nom]:[heures annuelles
selon contrat(s)]])=0,"",CCTSAS[[#This Row],[Total global]]-ABS(CCTSAS[[#This Row],[Dont non opposable]]))</f>
        <v/>
      </c>
      <c r="AB323" s="8"/>
      <c r="AC323" s="63"/>
      <c r="AD323" s="428"/>
      <c r="AE323" s="428"/>
      <c r="AF323" s="428"/>
      <c r="AG323" s="43"/>
      <c r="AH323" s="183" t="str">
        <f>IF(COUNTA(CCTSAS[[#This Row],[Nom]:[heures annuelles
selon contrat(s)]])=0,"",REVEX!$E$9)</f>
        <v/>
      </c>
      <c r="AI323" s="72" t="str">
        <f>IF(CCTSAS[[#This Row],[Allocation fonctions]]="","",IF(ISNA(VLOOKUP(CCTSAS[[#This Row],[Allocation fonctions]],DROPDOWN[Dropdown82],1,FALSE))=TRUE,"Veuillez utiliser les allocations parmis la liste déroulante.",""))</f>
        <v/>
      </c>
    </row>
    <row r="324" spans="1:35" x14ac:dyDescent="0.25">
      <c r="A324" s="72" t="str">
        <f>IF(CCTSAS[[#This Row],[Carrière]]="","",IF(ISNA(VLOOKUP(CCTSAS[[#This Row],[Carrière]],DROPDOWN[Dropdown9],1,FALSE))=TRUE,"Carrière: Utiliser la liste déroulante",""))</f>
        <v/>
      </c>
      <c r="B324" s="554" t="str">
        <f>IF(CCTSAS[[#This Row],[Matricule]]="","",MAX($B$7:B323)+1)</f>
        <v/>
      </c>
      <c r="C324" s="8"/>
      <c r="D324" s="8"/>
      <c r="E324" s="20"/>
      <c r="F324" s="63"/>
      <c r="G324" s="8"/>
      <c r="H324" s="8"/>
      <c r="I324" s="10"/>
      <c r="J324" s="10"/>
      <c r="K324" s="9"/>
      <c r="L324" s="9"/>
      <c r="M324" s="9"/>
      <c r="N32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4" s="660"/>
      <c r="P324" s="660"/>
      <c r="Q324" s="461"/>
      <c r="R324" s="381"/>
      <c r="S324" s="37"/>
      <c r="T324" s="37"/>
      <c r="U324" s="37"/>
      <c r="V324" s="37"/>
      <c r="W324" s="37"/>
      <c r="X324" s="37"/>
      <c r="Y32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4" s="37"/>
      <c r="AA324" s="662" t="str">
        <f>IF(COUNTA(CCTSAS[[#This Row],[Nom]:[heures annuelles
selon contrat(s)]])=0,"",CCTSAS[[#This Row],[Total global]]-ABS(CCTSAS[[#This Row],[Dont non opposable]]))</f>
        <v/>
      </c>
      <c r="AB324" s="8"/>
      <c r="AC324" s="63"/>
      <c r="AD324" s="428"/>
      <c r="AE324" s="428"/>
      <c r="AF324" s="428"/>
      <c r="AG324" s="43"/>
      <c r="AH324" s="183" t="str">
        <f>IF(COUNTA(CCTSAS[[#This Row],[Nom]:[heures annuelles
selon contrat(s)]])=0,"",REVEX!$E$9)</f>
        <v/>
      </c>
      <c r="AI324" s="72" t="str">
        <f>IF(CCTSAS[[#This Row],[Allocation fonctions]]="","",IF(ISNA(VLOOKUP(CCTSAS[[#This Row],[Allocation fonctions]],DROPDOWN[Dropdown82],1,FALSE))=TRUE,"Veuillez utiliser les allocations parmis la liste déroulante.",""))</f>
        <v/>
      </c>
    </row>
    <row r="325" spans="1:35" x14ac:dyDescent="0.25">
      <c r="A325" s="72" t="str">
        <f>IF(CCTSAS[[#This Row],[Carrière]]="","",IF(ISNA(VLOOKUP(CCTSAS[[#This Row],[Carrière]],DROPDOWN[Dropdown9],1,FALSE))=TRUE,"Carrière: Utiliser la liste déroulante",""))</f>
        <v/>
      </c>
      <c r="B325" s="554" t="str">
        <f>IF(CCTSAS[[#This Row],[Matricule]]="","",MAX($B$7:B324)+1)</f>
        <v/>
      </c>
      <c r="C325" s="8"/>
      <c r="D325" s="8"/>
      <c r="E325" s="20"/>
      <c r="F325" s="63"/>
      <c r="G325" s="8"/>
      <c r="H325" s="8"/>
      <c r="I325" s="10"/>
      <c r="J325" s="10"/>
      <c r="K325" s="9"/>
      <c r="L325" s="9"/>
      <c r="M325" s="9"/>
      <c r="N32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5" s="660"/>
      <c r="P325" s="660"/>
      <c r="Q325" s="461"/>
      <c r="R325" s="381"/>
      <c r="S325" s="37"/>
      <c r="T325" s="37"/>
      <c r="U325" s="37"/>
      <c r="V325" s="37"/>
      <c r="W325" s="37"/>
      <c r="X325" s="37"/>
      <c r="Y32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5" s="37"/>
      <c r="AA325" s="662" t="str">
        <f>IF(COUNTA(CCTSAS[[#This Row],[Nom]:[heures annuelles
selon contrat(s)]])=0,"",CCTSAS[[#This Row],[Total global]]-ABS(CCTSAS[[#This Row],[Dont non opposable]]))</f>
        <v/>
      </c>
      <c r="AB325" s="8"/>
      <c r="AC325" s="63"/>
      <c r="AD325" s="428"/>
      <c r="AE325" s="428"/>
      <c r="AF325" s="428"/>
      <c r="AG325" s="43"/>
      <c r="AH325" s="183" t="str">
        <f>IF(COUNTA(CCTSAS[[#This Row],[Nom]:[heures annuelles
selon contrat(s)]])=0,"",REVEX!$E$9)</f>
        <v/>
      </c>
      <c r="AI325" s="72" t="str">
        <f>IF(CCTSAS[[#This Row],[Allocation fonctions]]="","",IF(ISNA(VLOOKUP(CCTSAS[[#This Row],[Allocation fonctions]],DROPDOWN[Dropdown82],1,FALSE))=TRUE,"Veuillez utiliser les allocations parmis la liste déroulante.",""))</f>
        <v/>
      </c>
    </row>
    <row r="326" spans="1:35" x14ac:dyDescent="0.25">
      <c r="A326" s="72" t="str">
        <f>IF(CCTSAS[[#This Row],[Carrière]]="","",IF(ISNA(VLOOKUP(CCTSAS[[#This Row],[Carrière]],DROPDOWN[Dropdown9],1,FALSE))=TRUE,"Carrière: Utiliser la liste déroulante",""))</f>
        <v/>
      </c>
      <c r="B326" s="554" t="str">
        <f>IF(CCTSAS[[#This Row],[Matricule]]="","",MAX($B$7:B325)+1)</f>
        <v/>
      </c>
      <c r="C326" s="8"/>
      <c r="D326" s="8"/>
      <c r="E326" s="20"/>
      <c r="F326" s="63"/>
      <c r="G326" s="8"/>
      <c r="H326" s="8"/>
      <c r="I326" s="10"/>
      <c r="J326" s="10"/>
      <c r="K326" s="9"/>
      <c r="L326" s="9"/>
      <c r="M326" s="9"/>
      <c r="N32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6" s="660"/>
      <c r="P326" s="660"/>
      <c r="Q326" s="461"/>
      <c r="R326" s="381"/>
      <c r="S326" s="37"/>
      <c r="T326" s="37"/>
      <c r="U326" s="37"/>
      <c r="V326" s="37"/>
      <c r="W326" s="37"/>
      <c r="X326" s="37"/>
      <c r="Y32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6" s="37"/>
      <c r="AA326" s="662" t="str">
        <f>IF(COUNTA(CCTSAS[[#This Row],[Nom]:[heures annuelles
selon contrat(s)]])=0,"",CCTSAS[[#This Row],[Total global]]-ABS(CCTSAS[[#This Row],[Dont non opposable]]))</f>
        <v/>
      </c>
      <c r="AB326" s="8"/>
      <c r="AC326" s="63"/>
      <c r="AD326" s="428"/>
      <c r="AE326" s="428"/>
      <c r="AF326" s="428"/>
      <c r="AG326" s="43"/>
      <c r="AH326" s="183" t="str">
        <f>IF(COUNTA(CCTSAS[[#This Row],[Nom]:[heures annuelles
selon contrat(s)]])=0,"",REVEX!$E$9)</f>
        <v/>
      </c>
      <c r="AI326" s="72" t="str">
        <f>IF(CCTSAS[[#This Row],[Allocation fonctions]]="","",IF(ISNA(VLOOKUP(CCTSAS[[#This Row],[Allocation fonctions]],DROPDOWN[Dropdown82],1,FALSE))=TRUE,"Veuillez utiliser les allocations parmis la liste déroulante.",""))</f>
        <v/>
      </c>
    </row>
    <row r="327" spans="1:35" x14ac:dyDescent="0.25">
      <c r="A327" s="72" t="str">
        <f>IF(CCTSAS[[#This Row],[Carrière]]="","",IF(ISNA(VLOOKUP(CCTSAS[[#This Row],[Carrière]],DROPDOWN[Dropdown9],1,FALSE))=TRUE,"Carrière: Utiliser la liste déroulante",""))</f>
        <v/>
      </c>
      <c r="B327" s="554" t="str">
        <f>IF(CCTSAS[[#This Row],[Matricule]]="","",MAX($B$7:B326)+1)</f>
        <v/>
      </c>
      <c r="C327" s="8"/>
      <c r="D327" s="8"/>
      <c r="E327" s="20"/>
      <c r="F327" s="63"/>
      <c r="G327" s="8"/>
      <c r="H327" s="8"/>
      <c r="I327" s="10"/>
      <c r="J327" s="10"/>
      <c r="K327" s="9"/>
      <c r="L327" s="9"/>
      <c r="M327" s="9"/>
      <c r="N32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7" s="660"/>
      <c r="P327" s="660"/>
      <c r="Q327" s="461"/>
      <c r="R327" s="381"/>
      <c r="S327" s="37"/>
      <c r="T327" s="37"/>
      <c r="U327" s="37"/>
      <c r="V327" s="37"/>
      <c r="W327" s="37"/>
      <c r="X327" s="37"/>
      <c r="Y32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7" s="37"/>
      <c r="AA327" s="662" t="str">
        <f>IF(COUNTA(CCTSAS[[#This Row],[Nom]:[heures annuelles
selon contrat(s)]])=0,"",CCTSAS[[#This Row],[Total global]]-ABS(CCTSAS[[#This Row],[Dont non opposable]]))</f>
        <v/>
      </c>
      <c r="AB327" s="8"/>
      <c r="AC327" s="63"/>
      <c r="AD327" s="428"/>
      <c r="AE327" s="428"/>
      <c r="AF327" s="428"/>
      <c r="AG327" s="43"/>
      <c r="AH327" s="183" t="str">
        <f>IF(COUNTA(CCTSAS[[#This Row],[Nom]:[heures annuelles
selon contrat(s)]])=0,"",REVEX!$E$9)</f>
        <v/>
      </c>
      <c r="AI327" s="72" t="str">
        <f>IF(CCTSAS[[#This Row],[Allocation fonctions]]="","",IF(ISNA(VLOOKUP(CCTSAS[[#This Row],[Allocation fonctions]],DROPDOWN[Dropdown82],1,FALSE))=TRUE,"Veuillez utiliser les allocations parmis la liste déroulante.",""))</f>
        <v/>
      </c>
    </row>
    <row r="328" spans="1:35" x14ac:dyDescent="0.25">
      <c r="A328" s="72" t="str">
        <f>IF(CCTSAS[[#This Row],[Carrière]]="","",IF(ISNA(VLOOKUP(CCTSAS[[#This Row],[Carrière]],DROPDOWN[Dropdown9],1,FALSE))=TRUE,"Carrière: Utiliser la liste déroulante",""))</f>
        <v/>
      </c>
      <c r="B328" s="554" t="str">
        <f>IF(CCTSAS[[#This Row],[Matricule]]="","",MAX($B$7:B327)+1)</f>
        <v/>
      </c>
      <c r="C328" s="8"/>
      <c r="D328" s="8"/>
      <c r="E328" s="20"/>
      <c r="F328" s="63"/>
      <c r="G328" s="8"/>
      <c r="H328" s="8"/>
      <c r="I328" s="10"/>
      <c r="J328" s="10"/>
      <c r="K328" s="9"/>
      <c r="L328" s="9"/>
      <c r="M328" s="9"/>
      <c r="N32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8" s="660"/>
      <c r="P328" s="660"/>
      <c r="Q328" s="461"/>
      <c r="R328" s="381"/>
      <c r="S328" s="37"/>
      <c r="T328" s="37"/>
      <c r="U328" s="37"/>
      <c r="V328" s="37"/>
      <c r="W328" s="37"/>
      <c r="X328" s="37"/>
      <c r="Y32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8" s="37"/>
      <c r="AA328" s="662" t="str">
        <f>IF(COUNTA(CCTSAS[[#This Row],[Nom]:[heures annuelles
selon contrat(s)]])=0,"",CCTSAS[[#This Row],[Total global]]-ABS(CCTSAS[[#This Row],[Dont non opposable]]))</f>
        <v/>
      </c>
      <c r="AB328" s="8"/>
      <c r="AC328" s="63"/>
      <c r="AD328" s="428"/>
      <c r="AE328" s="428"/>
      <c r="AF328" s="428"/>
      <c r="AG328" s="43"/>
      <c r="AH328" s="183" t="str">
        <f>IF(COUNTA(CCTSAS[[#This Row],[Nom]:[heures annuelles
selon contrat(s)]])=0,"",REVEX!$E$9)</f>
        <v/>
      </c>
      <c r="AI328" s="72" t="str">
        <f>IF(CCTSAS[[#This Row],[Allocation fonctions]]="","",IF(ISNA(VLOOKUP(CCTSAS[[#This Row],[Allocation fonctions]],DROPDOWN[Dropdown82],1,FALSE))=TRUE,"Veuillez utiliser les allocations parmis la liste déroulante.",""))</f>
        <v/>
      </c>
    </row>
    <row r="329" spans="1:35" x14ac:dyDescent="0.25">
      <c r="A329" s="72" t="str">
        <f>IF(CCTSAS[[#This Row],[Carrière]]="","",IF(ISNA(VLOOKUP(CCTSAS[[#This Row],[Carrière]],DROPDOWN[Dropdown9],1,FALSE))=TRUE,"Carrière: Utiliser la liste déroulante",""))</f>
        <v/>
      </c>
      <c r="B329" s="554" t="str">
        <f>IF(CCTSAS[[#This Row],[Matricule]]="","",MAX($B$7:B328)+1)</f>
        <v/>
      </c>
      <c r="C329" s="8"/>
      <c r="D329" s="8"/>
      <c r="E329" s="20"/>
      <c r="F329" s="63"/>
      <c r="G329" s="8"/>
      <c r="H329" s="8"/>
      <c r="I329" s="10"/>
      <c r="J329" s="10"/>
      <c r="K329" s="9"/>
      <c r="L329" s="9"/>
      <c r="M329" s="9"/>
      <c r="N32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29" s="660"/>
      <c r="P329" s="660"/>
      <c r="Q329" s="461"/>
      <c r="R329" s="381"/>
      <c r="S329" s="37"/>
      <c r="T329" s="37"/>
      <c r="U329" s="37"/>
      <c r="V329" s="37"/>
      <c r="W329" s="37"/>
      <c r="X329" s="37"/>
      <c r="Y32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29" s="37"/>
      <c r="AA329" s="662" t="str">
        <f>IF(COUNTA(CCTSAS[[#This Row],[Nom]:[heures annuelles
selon contrat(s)]])=0,"",CCTSAS[[#This Row],[Total global]]-ABS(CCTSAS[[#This Row],[Dont non opposable]]))</f>
        <v/>
      </c>
      <c r="AB329" s="8"/>
      <c r="AC329" s="63"/>
      <c r="AD329" s="428"/>
      <c r="AE329" s="428"/>
      <c r="AF329" s="428"/>
      <c r="AG329" s="43"/>
      <c r="AH329" s="183" t="str">
        <f>IF(COUNTA(CCTSAS[[#This Row],[Nom]:[heures annuelles
selon contrat(s)]])=0,"",REVEX!$E$9)</f>
        <v/>
      </c>
      <c r="AI329" s="72" t="str">
        <f>IF(CCTSAS[[#This Row],[Allocation fonctions]]="","",IF(ISNA(VLOOKUP(CCTSAS[[#This Row],[Allocation fonctions]],DROPDOWN[Dropdown82],1,FALSE))=TRUE,"Veuillez utiliser les allocations parmis la liste déroulante.",""))</f>
        <v/>
      </c>
    </row>
    <row r="330" spans="1:35" x14ac:dyDescent="0.25">
      <c r="A330" s="72" t="str">
        <f>IF(CCTSAS[[#This Row],[Carrière]]="","",IF(ISNA(VLOOKUP(CCTSAS[[#This Row],[Carrière]],DROPDOWN[Dropdown9],1,FALSE))=TRUE,"Carrière: Utiliser la liste déroulante",""))</f>
        <v/>
      </c>
      <c r="B330" s="554" t="str">
        <f>IF(CCTSAS[[#This Row],[Matricule]]="","",MAX($B$7:B329)+1)</f>
        <v/>
      </c>
      <c r="C330" s="8"/>
      <c r="D330" s="8"/>
      <c r="E330" s="20"/>
      <c r="F330" s="63"/>
      <c r="G330" s="8"/>
      <c r="H330" s="8"/>
      <c r="I330" s="10"/>
      <c r="J330" s="10"/>
      <c r="K330" s="9"/>
      <c r="L330" s="9"/>
      <c r="M330" s="9"/>
      <c r="N33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0" s="660"/>
      <c r="P330" s="660"/>
      <c r="Q330" s="461"/>
      <c r="R330" s="381"/>
      <c r="S330" s="37"/>
      <c r="T330" s="37"/>
      <c r="U330" s="37"/>
      <c r="V330" s="37"/>
      <c r="W330" s="37"/>
      <c r="X330" s="37"/>
      <c r="Y33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0" s="37"/>
      <c r="AA330" s="662" t="str">
        <f>IF(COUNTA(CCTSAS[[#This Row],[Nom]:[heures annuelles
selon contrat(s)]])=0,"",CCTSAS[[#This Row],[Total global]]-ABS(CCTSAS[[#This Row],[Dont non opposable]]))</f>
        <v/>
      </c>
      <c r="AB330" s="8"/>
      <c r="AC330" s="63"/>
      <c r="AD330" s="428"/>
      <c r="AE330" s="428"/>
      <c r="AF330" s="428"/>
      <c r="AG330" s="43"/>
      <c r="AH330" s="183" t="str">
        <f>IF(COUNTA(CCTSAS[[#This Row],[Nom]:[heures annuelles
selon contrat(s)]])=0,"",REVEX!$E$9)</f>
        <v/>
      </c>
      <c r="AI330" s="72" t="str">
        <f>IF(CCTSAS[[#This Row],[Allocation fonctions]]="","",IF(ISNA(VLOOKUP(CCTSAS[[#This Row],[Allocation fonctions]],DROPDOWN[Dropdown82],1,FALSE))=TRUE,"Veuillez utiliser les allocations parmis la liste déroulante.",""))</f>
        <v/>
      </c>
    </row>
    <row r="331" spans="1:35" x14ac:dyDescent="0.25">
      <c r="A331" s="72" t="str">
        <f>IF(CCTSAS[[#This Row],[Carrière]]="","",IF(ISNA(VLOOKUP(CCTSAS[[#This Row],[Carrière]],DROPDOWN[Dropdown9],1,FALSE))=TRUE,"Carrière: Utiliser la liste déroulante",""))</f>
        <v/>
      </c>
      <c r="B331" s="554" t="str">
        <f>IF(CCTSAS[[#This Row],[Matricule]]="","",MAX($B$7:B330)+1)</f>
        <v/>
      </c>
      <c r="C331" s="8"/>
      <c r="D331" s="8"/>
      <c r="E331" s="20"/>
      <c r="F331" s="63"/>
      <c r="G331" s="8"/>
      <c r="H331" s="8"/>
      <c r="I331" s="10"/>
      <c r="J331" s="10"/>
      <c r="K331" s="9"/>
      <c r="L331" s="9"/>
      <c r="M331" s="9"/>
      <c r="N33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1" s="660"/>
      <c r="P331" s="660"/>
      <c r="Q331" s="461"/>
      <c r="R331" s="381"/>
      <c r="S331" s="37"/>
      <c r="T331" s="37"/>
      <c r="U331" s="37"/>
      <c r="V331" s="37"/>
      <c r="W331" s="37"/>
      <c r="X331" s="37"/>
      <c r="Y33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1" s="37"/>
      <c r="AA331" s="662" t="str">
        <f>IF(COUNTA(CCTSAS[[#This Row],[Nom]:[heures annuelles
selon contrat(s)]])=0,"",CCTSAS[[#This Row],[Total global]]-ABS(CCTSAS[[#This Row],[Dont non opposable]]))</f>
        <v/>
      </c>
      <c r="AB331" s="8"/>
      <c r="AC331" s="63"/>
      <c r="AD331" s="428"/>
      <c r="AE331" s="428"/>
      <c r="AF331" s="428"/>
      <c r="AG331" s="43"/>
      <c r="AH331" s="183" t="str">
        <f>IF(COUNTA(CCTSAS[[#This Row],[Nom]:[heures annuelles
selon contrat(s)]])=0,"",REVEX!$E$9)</f>
        <v/>
      </c>
      <c r="AI331" s="72" t="str">
        <f>IF(CCTSAS[[#This Row],[Allocation fonctions]]="","",IF(ISNA(VLOOKUP(CCTSAS[[#This Row],[Allocation fonctions]],DROPDOWN[Dropdown82],1,FALSE))=TRUE,"Veuillez utiliser les allocations parmis la liste déroulante.",""))</f>
        <v/>
      </c>
    </row>
    <row r="332" spans="1:35" x14ac:dyDescent="0.25">
      <c r="A332" s="72" t="str">
        <f>IF(CCTSAS[[#This Row],[Carrière]]="","",IF(ISNA(VLOOKUP(CCTSAS[[#This Row],[Carrière]],DROPDOWN[Dropdown9],1,FALSE))=TRUE,"Carrière: Utiliser la liste déroulante",""))</f>
        <v/>
      </c>
      <c r="B332" s="554" t="str">
        <f>IF(CCTSAS[[#This Row],[Matricule]]="","",MAX($B$7:B331)+1)</f>
        <v/>
      </c>
      <c r="C332" s="8"/>
      <c r="D332" s="8"/>
      <c r="E332" s="20"/>
      <c r="F332" s="63"/>
      <c r="G332" s="8"/>
      <c r="H332" s="8"/>
      <c r="I332" s="10"/>
      <c r="J332" s="10"/>
      <c r="K332" s="9"/>
      <c r="L332" s="9"/>
      <c r="M332" s="9"/>
      <c r="N33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2" s="660"/>
      <c r="P332" s="660"/>
      <c r="Q332" s="461"/>
      <c r="R332" s="381"/>
      <c r="S332" s="37"/>
      <c r="T332" s="37"/>
      <c r="U332" s="37"/>
      <c r="V332" s="37"/>
      <c r="W332" s="37"/>
      <c r="X332" s="37"/>
      <c r="Y33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2" s="37"/>
      <c r="AA332" s="662" t="str">
        <f>IF(COUNTA(CCTSAS[[#This Row],[Nom]:[heures annuelles
selon contrat(s)]])=0,"",CCTSAS[[#This Row],[Total global]]-ABS(CCTSAS[[#This Row],[Dont non opposable]]))</f>
        <v/>
      </c>
      <c r="AB332" s="8"/>
      <c r="AC332" s="63"/>
      <c r="AD332" s="428"/>
      <c r="AE332" s="428"/>
      <c r="AF332" s="428"/>
      <c r="AG332" s="43"/>
      <c r="AH332" s="183" t="str">
        <f>IF(COUNTA(CCTSAS[[#This Row],[Nom]:[heures annuelles
selon contrat(s)]])=0,"",REVEX!$E$9)</f>
        <v/>
      </c>
      <c r="AI332" s="72" t="str">
        <f>IF(CCTSAS[[#This Row],[Allocation fonctions]]="","",IF(ISNA(VLOOKUP(CCTSAS[[#This Row],[Allocation fonctions]],DROPDOWN[Dropdown82],1,FALSE))=TRUE,"Veuillez utiliser les allocations parmis la liste déroulante.",""))</f>
        <v/>
      </c>
    </row>
    <row r="333" spans="1:35" x14ac:dyDescent="0.25">
      <c r="A333" s="72" t="str">
        <f>IF(CCTSAS[[#This Row],[Carrière]]="","",IF(ISNA(VLOOKUP(CCTSAS[[#This Row],[Carrière]],DROPDOWN[Dropdown9],1,FALSE))=TRUE,"Carrière: Utiliser la liste déroulante",""))</f>
        <v/>
      </c>
      <c r="B333" s="554" t="str">
        <f>IF(CCTSAS[[#This Row],[Matricule]]="","",MAX($B$7:B332)+1)</f>
        <v/>
      </c>
      <c r="C333" s="8"/>
      <c r="D333" s="8"/>
      <c r="E333" s="20"/>
      <c r="F333" s="63"/>
      <c r="G333" s="8"/>
      <c r="H333" s="8"/>
      <c r="I333" s="10"/>
      <c r="J333" s="10"/>
      <c r="K333" s="9"/>
      <c r="L333" s="9"/>
      <c r="M333" s="9"/>
      <c r="N33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3" s="660"/>
      <c r="P333" s="660"/>
      <c r="Q333" s="461"/>
      <c r="R333" s="381"/>
      <c r="S333" s="37"/>
      <c r="T333" s="37"/>
      <c r="U333" s="37"/>
      <c r="V333" s="37"/>
      <c r="W333" s="37"/>
      <c r="X333" s="37"/>
      <c r="Y33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3" s="37"/>
      <c r="AA333" s="662" t="str">
        <f>IF(COUNTA(CCTSAS[[#This Row],[Nom]:[heures annuelles
selon contrat(s)]])=0,"",CCTSAS[[#This Row],[Total global]]-ABS(CCTSAS[[#This Row],[Dont non opposable]]))</f>
        <v/>
      </c>
      <c r="AB333" s="8"/>
      <c r="AC333" s="63"/>
      <c r="AD333" s="428"/>
      <c r="AE333" s="428"/>
      <c r="AF333" s="428"/>
      <c r="AG333" s="43"/>
      <c r="AH333" s="183" t="str">
        <f>IF(COUNTA(CCTSAS[[#This Row],[Nom]:[heures annuelles
selon contrat(s)]])=0,"",REVEX!$E$9)</f>
        <v/>
      </c>
      <c r="AI333" s="72" t="str">
        <f>IF(CCTSAS[[#This Row],[Allocation fonctions]]="","",IF(ISNA(VLOOKUP(CCTSAS[[#This Row],[Allocation fonctions]],DROPDOWN[Dropdown82],1,FALSE))=TRUE,"Veuillez utiliser les allocations parmis la liste déroulante.",""))</f>
        <v/>
      </c>
    </row>
    <row r="334" spans="1:35" x14ac:dyDescent="0.25">
      <c r="A334" s="72" t="str">
        <f>IF(CCTSAS[[#This Row],[Carrière]]="","",IF(ISNA(VLOOKUP(CCTSAS[[#This Row],[Carrière]],DROPDOWN[Dropdown9],1,FALSE))=TRUE,"Carrière: Utiliser la liste déroulante",""))</f>
        <v/>
      </c>
      <c r="B334" s="554" t="str">
        <f>IF(CCTSAS[[#This Row],[Matricule]]="","",MAX($B$7:B333)+1)</f>
        <v/>
      </c>
      <c r="C334" s="8"/>
      <c r="D334" s="8"/>
      <c r="E334" s="20"/>
      <c r="F334" s="63"/>
      <c r="G334" s="8"/>
      <c r="H334" s="8"/>
      <c r="I334" s="10"/>
      <c r="J334" s="10"/>
      <c r="K334" s="9"/>
      <c r="L334" s="9"/>
      <c r="M334" s="9"/>
      <c r="N33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4" s="660"/>
      <c r="P334" s="660"/>
      <c r="Q334" s="461"/>
      <c r="R334" s="381"/>
      <c r="S334" s="37"/>
      <c r="T334" s="37"/>
      <c r="U334" s="37"/>
      <c r="V334" s="37"/>
      <c r="W334" s="37"/>
      <c r="X334" s="37"/>
      <c r="Y33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4" s="37"/>
      <c r="AA334" s="662" t="str">
        <f>IF(COUNTA(CCTSAS[[#This Row],[Nom]:[heures annuelles
selon contrat(s)]])=0,"",CCTSAS[[#This Row],[Total global]]-ABS(CCTSAS[[#This Row],[Dont non opposable]]))</f>
        <v/>
      </c>
      <c r="AB334" s="8"/>
      <c r="AC334" s="63"/>
      <c r="AD334" s="428"/>
      <c r="AE334" s="428"/>
      <c r="AF334" s="428"/>
      <c r="AG334" s="43"/>
      <c r="AH334" s="183" t="str">
        <f>IF(COUNTA(CCTSAS[[#This Row],[Nom]:[heures annuelles
selon contrat(s)]])=0,"",REVEX!$E$9)</f>
        <v/>
      </c>
      <c r="AI334" s="72" t="str">
        <f>IF(CCTSAS[[#This Row],[Allocation fonctions]]="","",IF(ISNA(VLOOKUP(CCTSAS[[#This Row],[Allocation fonctions]],DROPDOWN[Dropdown82],1,FALSE))=TRUE,"Veuillez utiliser les allocations parmis la liste déroulante.",""))</f>
        <v/>
      </c>
    </row>
    <row r="335" spans="1:35" x14ac:dyDescent="0.25">
      <c r="A335" s="72" t="str">
        <f>IF(CCTSAS[[#This Row],[Carrière]]="","",IF(ISNA(VLOOKUP(CCTSAS[[#This Row],[Carrière]],DROPDOWN[Dropdown9],1,FALSE))=TRUE,"Carrière: Utiliser la liste déroulante",""))</f>
        <v/>
      </c>
      <c r="B335" s="554" t="str">
        <f>IF(CCTSAS[[#This Row],[Matricule]]="","",MAX($B$7:B334)+1)</f>
        <v/>
      </c>
      <c r="C335" s="8"/>
      <c r="D335" s="8"/>
      <c r="E335" s="20"/>
      <c r="F335" s="63"/>
      <c r="G335" s="8"/>
      <c r="H335" s="8"/>
      <c r="I335" s="10"/>
      <c r="J335" s="10"/>
      <c r="K335" s="9"/>
      <c r="L335" s="9"/>
      <c r="M335" s="9"/>
      <c r="N33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5" s="660"/>
      <c r="P335" s="660"/>
      <c r="Q335" s="461"/>
      <c r="R335" s="381"/>
      <c r="S335" s="37"/>
      <c r="T335" s="37"/>
      <c r="U335" s="37"/>
      <c r="V335" s="37"/>
      <c r="W335" s="37"/>
      <c r="X335" s="37"/>
      <c r="Y33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5" s="37"/>
      <c r="AA335" s="662" t="str">
        <f>IF(COUNTA(CCTSAS[[#This Row],[Nom]:[heures annuelles
selon contrat(s)]])=0,"",CCTSAS[[#This Row],[Total global]]-ABS(CCTSAS[[#This Row],[Dont non opposable]]))</f>
        <v/>
      </c>
      <c r="AB335" s="8"/>
      <c r="AC335" s="63"/>
      <c r="AD335" s="428"/>
      <c r="AE335" s="428"/>
      <c r="AF335" s="428"/>
      <c r="AG335" s="43"/>
      <c r="AH335" s="183" t="str">
        <f>IF(COUNTA(CCTSAS[[#This Row],[Nom]:[heures annuelles
selon contrat(s)]])=0,"",REVEX!$E$9)</f>
        <v/>
      </c>
      <c r="AI335" s="72" t="str">
        <f>IF(CCTSAS[[#This Row],[Allocation fonctions]]="","",IF(ISNA(VLOOKUP(CCTSAS[[#This Row],[Allocation fonctions]],DROPDOWN[Dropdown82],1,FALSE))=TRUE,"Veuillez utiliser les allocations parmis la liste déroulante.",""))</f>
        <v/>
      </c>
    </row>
    <row r="336" spans="1:35" x14ac:dyDescent="0.25">
      <c r="A336" s="72" t="str">
        <f>IF(CCTSAS[[#This Row],[Carrière]]="","",IF(ISNA(VLOOKUP(CCTSAS[[#This Row],[Carrière]],DROPDOWN[Dropdown9],1,FALSE))=TRUE,"Carrière: Utiliser la liste déroulante",""))</f>
        <v/>
      </c>
      <c r="B336" s="554" t="str">
        <f>IF(CCTSAS[[#This Row],[Matricule]]="","",MAX($B$7:B335)+1)</f>
        <v/>
      </c>
      <c r="C336" s="8"/>
      <c r="D336" s="8"/>
      <c r="E336" s="20"/>
      <c r="F336" s="63"/>
      <c r="G336" s="8"/>
      <c r="H336" s="8"/>
      <c r="I336" s="10"/>
      <c r="J336" s="10"/>
      <c r="K336" s="9"/>
      <c r="L336" s="9"/>
      <c r="M336" s="9"/>
      <c r="N33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6" s="660"/>
      <c r="P336" s="660"/>
      <c r="Q336" s="461"/>
      <c r="R336" s="381"/>
      <c r="S336" s="37"/>
      <c r="T336" s="37"/>
      <c r="U336" s="37"/>
      <c r="V336" s="37"/>
      <c r="W336" s="37"/>
      <c r="X336" s="37"/>
      <c r="Y33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6" s="37"/>
      <c r="AA336" s="662" t="str">
        <f>IF(COUNTA(CCTSAS[[#This Row],[Nom]:[heures annuelles
selon contrat(s)]])=0,"",CCTSAS[[#This Row],[Total global]]-ABS(CCTSAS[[#This Row],[Dont non opposable]]))</f>
        <v/>
      </c>
      <c r="AB336" s="8"/>
      <c r="AC336" s="63"/>
      <c r="AD336" s="428"/>
      <c r="AE336" s="428"/>
      <c r="AF336" s="428"/>
      <c r="AG336" s="43"/>
      <c r="AH336" s="183" t="str">
        <f>IF(COUNTA(CCTSAS[[#This Row],[Nom]:[heures annuelles
selon contrat(s)]])=0,"",REVEX!$E$9)</f>
        <v/>
      </c>
      <c r="AI336" s="72" t="str">
        <f>IF(CCTSAS[[#This Row],[Allocation fonctions]]="","",IF(ISNA(VLOOKUP(CCTSAS[[#This Row],[Allocation fonctions]],DROPDOWN[Dropdown82],1,FALSE))=TRUE,"Veuillez utiliser les allocations parmis la liste déroulante.",""))</f>
        <v/>
      </c>
    </row>
    <row r="337" spans="1:35" x14ac:dyDescent="0.25">
      <c r="A337" s="72" t="str">
        <f>IF(CCTSAS[[#This Row],[Carrière]]="","",IF(ISNA(VLOOKUP(CCTSAS[[#This Row],[Carrière]],DROPDOWN[Dropdown9],1,FALSE))=TRUE,"Carrière: Utiliser la liste déroulante",""))</f>
        <v/>
      </c>
      <c r="B337" s="554" t="str">
        <f>IF(CCTSAS[[#This Row],[Matricule]]="","",MAX($B$7:B336)+1)</f>
        <v/>
      </c>
      <c r="C337" s="8"/>
      <c r="D337" s="8"/>
      <c r="E337" s="20"/>
      <c r="F337" s="63"/>
      <c r="G337" s="8"/>
      <c r="H337" s="8"/>
      <c r="I337" s="10"/>
      <c r="J337" s="10"/>
      <c r="K337" s="9"/>
      <c r="L337" s="9"/>
      <c r="M337" s="9"/>
      <c r="N33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7" s="660"/>
      <c r="P337" s="660"/>
      <c r="Q337" s="461"/>
      <c r="R337" s="381"/>
      <c r="S337" s="37"/>
      <c r="T337" s="37"/>
      <c r="U337" s="37"/>
      <c r="V337" s="37"/>
      <c r="W337" s="37"/>
      <c r="X337" s="37"/>
      <c r="Y33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7" s="37"/>
      <c r="AA337" s="662" t="str">
        <f>IF(COUNTA(CCTSAS[[#This Row],[Nom]:[heures annuelles
selon contrat(s)]])=0,"",CCTSAS[[#This Row],[Total global]]-ABS(CCTSAS[[#This Row],[Dont non opposable]]))</f>
        <v/>
      </c>
      <c r="AB337" s="8"/>
      <c r="AC337" s="63"/>
      <c r="AD337" s="428"/>
      <c r="AE337" s="428"/>
      <c r="AF337" s="428"/>
      <c r="AG337" s="43"/>
      <c r="AH337" s="183" t="str">
        <f>IF(COUNTA(CCTSAS[[#This Row],[Nom]:[heures annuelles
selon contrat(s)]])=0,"",REVEX!$E$9)</f>
        <v/>
      </c>
      <c r="AI337" s="72" t="str">
        <f>IF(CCTSAS[[#This Row],[Allocation fonctions]]="","",IF(ISNA(VLOOKUP(CCTSAS[[#This Row],[Allocation fonctions]],DROPDOWN[Dropdown82],1,FALSE))=TRUE,"Veuillez utiliser les allocations parmis la liste déroulante.",""))</f>
        <v/>
      </c>
    </row>
    <row r="338" spans="1:35" x14ac:dyDescent="0.25">
      <c r="A338" s="72" t="str">
        <f>IF(CCTSAS[[#This Row],[Carrière]]="","",IF(ISNA(VLOOKUP(CCTSAS[[#This Row],[Carrière]],DROPDOWN[Dropdown9],1,FALSE))=TRUE,"Carrière: Utiliser la liste déroulante",""))</f>
        <v/>
      </c>
      <c r="B338" s="554" t="str">
        <f>IF(CCTSAS[[#This Row],[Matricule]]="","",MAX($B$7:B337)+1)</f>
        <v/>
      </c>
      <c r="C338" s="8"/>
      <c r="D338" s="8"/>
      <c r="E338" s="20"/>
      <c r="F338" s="63"/>
      <c r="G338" s="8"/>
      <c r="H338" s="8"/>
      <c r="I338" s="10"/>
      <c r="J338" s="10"/>
      <c r="K338" s="9"/>
      <c r="L338" s="9"/>
      <c r="M338" s="9"/>
      <c r="N33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8" s="660"/>
      <c r="P338" s="660"/>
      <c r="Q338" s="461"/>
      <c r="R338" s="381"/>
      <c r="S338" s="37"/>
      <c r="T338" s="37"/>
      <c r="U338" s="37"/>
      <c r="V338" s="37"/>
      <c r="W338" s="37"/>
      <c r="X338" s="37"/>
      <c r="Y33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8" s="37"/>
      <c r="AA338" s="662" t="str">
        <f>IF(COUNTA(CCTSAS[[#This Row],[Nom]:[heures annuelles
selon contrat(s)]])=0,"",CCTSAS[[#This Row],[Total global]]-ABS(CCTSAS[[#This Row],[Dont non opposable]]))</f>
        <v/>
      </c>
      <c r="AB338" s="8"/>
      <c r="AC338" s="63"/>
      <c r="AD338" s="428"/>
      <c r="AE338" s="428"/>
      <c r="AF338" s="428"/>
      <c r="AG338" s="43"/>
      <c r="AH338" s="183" t="str">
        <f>IF(COUNTA(CCTSAS[[#This Row],[Nom]:[heures annuelles
selon contrat(s)]])=0,"",REVEX!$E$9)</f>
        <v/>
      </c>
      <c r="AI338" s="72" t="str">
        <f>IF(CCTSAS[[#This Row],[Allocation fonctions]]="","",IF(ISNA(VLOOKUP(CCTSAS[[#This Row],[Allocation fonctions]],DROPDOWN[Dropdown82],1,FALSE))=TRUE,"Veuillez utiliser les allocations parmis la liste déroulante.",""))</f>
        <v/>
      </c>
    </row>
    <row r="339" spans="1:35" x14ac:dyDescent="0.25">
      <c r="A339" s="72" t="str">
        <f>IF(CCTSAS[[#This Row],[Carrière]]="","",IF(ISNA(VLOOKUP(CCTSAS[[#This Row],[Carrière]],DROPDOWN[Dropdown9],1,FALSE))=TRUE,"Carrière: Utiliser la liste déroulante",""))</f>
        <v/>
      </c>
      <c r="B339" s="554" t="str">
        <f>IF(CCTSAS[[#This Row],[Matricule]]="","",MAX($B$7:B338)+1)</f>
        <v/>
      </c>
      <c r="C339" s="8"/>
      <c r="D339" s="8"/>
      <c r="E339" s="20"/>
      <c r="F339" s="63"/>
      <c r="G339" s="8"/>
      <c r="H339" s="8"/>
      <c r="I339" s="10"/>
      <c r="J339" s="10"/>
      <c r="K339" s="9"/>
      <c r="L339" s="9"/>
      <c r="M339" s="9"/>
      <c r="N33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39" s="660"/>
      <c r="P339" s="660"/>
      <c r="Q339" s="461"/>
      <c r="R339" s="381"/>
      <c r="S339" s="37"/>
      <c r="T339" s="37"/>
      <c r="U339" s="37"/>
      <c r="V339" s="37"/>
      <c r="W339" s="37"/>
      <c r="X339" s="37"/>
      <c r="Y33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39" s="37"/>
      <c r="AA339" s="662" t="str">
        <f>IF(COUNTA(CCTSAS[[#This Row],[Nom]:[heures annuelles
selon contrat(s)]])=0,"",CCTSAS[[#This Row],[Total global]]-ABS(CCTSAS[[#This Row],[Dont non opposable]]))</f>
        <v/>
      </c>
      <c r="AB339" s="8"/>
      <c r="AC339" s="63"/>
      <c r="AD339" s="428"/>
      <c r="AE339" s="428"/>
      <c r="AF339" s="428"/>
      <c r="AG339" s="43"/>
      <c r="AH339" s="183" t="str">
        <f>IF(COUNTA(CCTSAS[[#This Row],[Nom]:[heures annuelles
selon contrat(s)]])=0,"",REVEX!$E$9)</f>
        <v/>
      </c>
      <c r="AI339" s="72" t="str">
        <f>IF(CCTSAS[[#This Row],[Allocation fonctions]]="","",IF(ISNA(VLOOKUP(CCTSAS[[#This Row],[Allocation fonctions]],DROPDOWN[Dropdown82],1,FALSE))=TRUE,"Veuillez utiliser les allocations parmis la liste déroulante.",""))</f>
        <v/>
      </c>
    </row>
    <row r="340" spans="1:35" x14ac:dyDescent="0.25">
      <c r="A340" s="72" t="str">
        <f>IF(CCTSAS[[#This Row],[Carrière]]="","",IF(ISNA(VLOOKUP(CCTSAS[[#This Row],[Carrière]],DROPDOWN[Dropdown9],1,FALSE))=TRUE,"Carrière: Utiliser la liste déroulante",""))</f>
        <v/>
      </c>
      <c r="B340" s="554" t="str">
        <f>IF(CCTSAS[[#This Row],[Matricule]]="","",MAX($B$7:B339)+1)</f>
        <v/>
      </c>
      <c r="C340" s="8"/>
      <c r="D340" s="8"/>
      <c r="E340" s="20"/>
      <c r="F340" s="63"/>
      <c r="G340" s="8"/>
      <c r="H340" s="8"/>
      <c r="I340" s="10"/>
      <c r="J340" s="10"/>
      <c r="K340" s="9"/>
      <c r="L340" s="9"/>
      <c r="M340" s="9"/>
      <c r="N34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0" s="660"/>
      <c r="P340" s="660"/>
      <c r="Q340" s="461"/>
      <c r="R340" s="381"/>
      <c r="S340" s="37"/>
      <c r="T340" s="37"/>
      <c r="U340" s="37"/>
      <c r="V340" s="37"/>
      <c r="W340" s="37"/>
      <c r="X340" s="37"/>
      <c r="Y34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0" s="37"/>
      <c r="AA340" s="662" t="str">
        <f>IF(COUNTA(CCTSAS[[#This Row],[Nom]:[heures annuelles
selon contrat(s)]])=0,"",CCTSAS[[#This Row],[Total global]]-ABS(CCTSAS[[#This Row],[Dont non opposable]]))</f>
        <v/>
      </c>
      <c r="AB340" s="8"/>
      <c r="AC340" s="63"/>
      <c r="AD340" s="428"/>
      <c r="AE340" s="428"/>
      <c r="AF340" s="428"/>
      <c r="AG340" s="43"/>
      <c r="AH340" s="183" t="str">
        <f>IF(COUNTA(CCTSAS[[#This Row],[Nom]:[heures annuelles
selon contrat(s)]])=0,"",REVEX!$E$9)</f>
        <v/>
      </c>
      <c r="AI340" s="72" t="str">
        <f>IF(CCTSAS[[#This Row],[Allocation fonctions]]="","",IF(ISNA(VLOOKUP(CCTSAS[[#This Row],[Allocation fonctions]],DROPDOWN[Dropdown82],1,FALSE))=TRUE,"Veuillez utiliser les allocations parmis la liste déroulante.",""))</f>
        <v/>
      </c>
    </row>
    <row r="341" spans="1:35" x14ac:dyDescent="0.25">
      <c r="A341" s="72" t="str">
        <f>IF(CCTSAS[[#This Row],[Carrière]]="","",IF(ISNA(VLOOKUP(CCTSAS[[#This Row],[Carrière]],DROPDOWN[Dropdown9],1,FALSE))=TRUE,"Carrière: Utiliser la liste déroulante",""))</f>
        <v/>
      </c>
      <c r="B341" s="554" t="str">
        <f>IF(CCTSAS[[#This Row],[Matricule]]="","",MAX($B$7:B340)+1)</f>
        <v/>
      </c>
      <c r="C341" s="8"/>
      <c r="D341" s="8"/>
      <c r="E341" s="20"/>
      <c r="F341" s="63"/>
      <c r="G341" s="8"/>
      <c r="H341" s="8"/>
      <c r="I341" s="10"/>
      <c r="J341" s="10"/>
      <c r="K341" s="9"/>
      <c r="L341" s="9"/>
      <c r="M341" s="9"/>
      <c r="N34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1" s="660"/>
      <c r="P341" s="660"/>
      <c r="Q341" s="461"/>
      <c r="R341" s="381"/>
      <c r="S341" s="37"/>
      <c r="T341" s="37"/>
      <c r="U341" s="37"/>
      <c r="V341" s="37"/>
      <c r="W341" s="37"/>
      <c r="X341" s="37"/>
      <c r="Y34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1" s="37"/>
      <c r="AA341" s="662" t="str">
        <f>IF(COUNTA(CCTSAS[[#This Row],[Nom]:[heures annuelles
selon contrat(s)]])=0,"",CCTSAS[[#This Row],[Total global]]-ABS(CCTSAS[[#This Row],[Dont non opposable]]))</f>
        <v/>
      </c>
      <c r="AB341" s="8"/>
      <c r="AC341" s="63"/>
      <c r="AD341" s="428"/>
      <c r="AE341" s="428"/>
      <c r="AF341" s="428"/>
      <c r="AG341" s="43"/>
      <c r="AH341" s="183" t="str">
        <f>IF(COUNTA(CCTSAS[[#This Row],[Nom]:[heures annuelles
selon contrat(s)]])=0,"",REVEX!$E$9)</f>
        <v/>
      </c>
      <c r="AI341" s="72" t="str">
        <f>IF(CCTSAS[[#This Row],[Allocation fonctions]]="","",IF(ISNA(VLOOKUP(CCTSAS[[#This Row],[Allocation fonctions]],DROPDOWN[Dropdown82],1,FALSE))=TRUE,"Veuillez utiliser les allocations parmis la liste déroulante.",""))</f>
        <v/>
      </c>
    </row>
    <row r="342" spans="1:35" x14ac:dyDescent="0.25">
      <c r="A342" s="72" t="str">
        <f>IF(CCTSAS[[#This Row],[Carrière]]="","",IF(ISNA(VLOOKUP(CCTSAS[[#This Row],[Carrière]],DROPDOWN[Dropdown9],1,FALSE))=TRUE,"Carrière: Utiliser la liste déroulante",""))</f>
        <v/>
      </c>
      <c r="B342" s="554" t="str">
        <f>IF(CCTSAS[[#This Row],[Matricule]]="","",MAX($B$7:B341)+1)</f>
        <v/>
      </c>
      <c r="C342" s="8"/>
      <c r="D342" s="8"/>
      <c r="E342" s="20"/>
      <c r="F342" s="63"/>
      <c r="G342" s="8"/>
      <c r="H342" s="8"/>
      <c r="I342" s="10"/>
      <c r="J342" s="10"/>
      <c r="K342" s="9"/>
      <c r="L342" s="9"/>
      <c r="M342" s="9"/>
      <c r="N34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2" s="660"/>
      <c r="P342" s="660"/>
      <c r="Q342" s="461"/>
      <c r="R342" s="381"/>
      <c r="S342" s="37"/>
      <c r="T342" s="37"/>
      <c r="U342" s="37"/>
      <c r="V342" s="37"/>
      <c r="W342" s="37"/>
      <c r="X342" s="37"/>
      <c r="Y34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2" s="37"/>
      <c r="AA342" s="662" t="str">
        <f>IF(COUNTA(CCTSAS[[#This Row],[Nom]:[heures annuelles
selon contrat(s)]])=0,"",CCTSAS[[#This Row],[Total global]]-ABS(CCTSAS[[#This Row],[Dont non opposable]]))</f>
        <v/>
      </c>
      <c r="AB342" s="8"/>
      <c r="AC342" s="63"/>
      <c r="AD342" s="428"/>
      <c r="AE342" s="428"/>
      <c r="AF342" s="428"/>
      <c r="AG342" s="43"/>
      <c r="AH342" s="183" t="str">
        <f>IF(COUNTA(CCTSAS[[#This Row],[Nom]:[heures annuelles
selon contrat(s)]])=0,"",REVEX!$E$9)</f>
        <v/>
      </c>
      <c r="AI342" s="72" t="str">
        <f>IF(CCTSAS[[#This Row],[Allocation fonctions]]="","",IF(ISNA(VLOOKUP(CCTSAS[[#This Row],[Allocation fonctions]],DROPDOWN[Dropdown82],1,FALSE))=TRUE,"Veuillez utiliser les allocations parmis la liste déroulante.",""))</f>
        <v/>
      </c>
    </row>
    <row r="343" spans="1:35" x14ac:dyDescent="0.25">
      <c r="A343" s="72" t="str">
        <f>IF(CCTSAS[[#This Row],[Carrière]]="","",IF(ISNA(VLOOKUP(CCTSAS[[#This Row],[Carrière]],DROPDOWN[Dropdown9],1,FALSE))=TRUE,"Carrière: Utiliser la liste déroulante",""))</f>
        <v/>
      </c>
      <c r="B343" s="554" t="str">
        <f>IF(CCTSAS[[#This Row],[Matricule]]="","",MAX($B$7:B342)+1)</f>
        <v/>
      </c>
      <c r="C343" s="8"/>
      <c r="D343" s="8"/>
      <c r="E343" s="20"/>
      <c r="F343" s="63"/>
      <c r="G343" s="8"/>
      <c r="H343" s="8"/>
      <c r="I343" s="10"/>
      <c r="J343" s="10"/>
      <c r="K343" s="9"/>
      <c r="L343" s="9"/>
      <c r="M343" s="9"/>
      <c r="N34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3" s="660"/>
      <c r="P343" s="660"/>
      <c r="Q343" s="461"/>
      <c r="R343" s="381"/>
      <c r="S343" s="37"/>
      <c r="T343" s="37"/>
      <c r="U343" s="37"/>
      <c r="V343" s="37"/>
      <c r="W343" s="37"/>
      <c r="X343" s="37"/>
      <c r="Y34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3" s="37"/>
      <c r="AA343" s="662" t="str">
        <f>IF(COUNTA(CCTSAS[[#This Row],[Nom]:[heures annuelles
selon contrat(s)]])=0,"",CCTSAS[[#This Row],[Total global]]-ABS(CCTSAS[[#This Row],[Dont non opposable]]))</f>
        <v/>
      </c>
      <c r="AB343" s="8"/>
      <c r="AC343" s="63"/>
      <c r="AD343" s="428"/>
      <c r="AE343" s="428"/>
      <c r="AF343" s="428"/>
      <c r="AG343" s="43"/>
      <c r="AH343" s="183" t="str">
        <f>IF(COUNTA(CCTSAS[[#This Row],[Nom]:[heures annuelles
selon contrat(s)]])=0,"",REVEX!$E$9)</f>
        <v/>
      </c>
      <c r="AI343" s="72" t="str">
        <f>IF(CCTSAS[[#This Row],[Allocation fonctions]]="","",IF(ISNA(VLOOKUP(CCTSAS[[#This Row],[Allocation fonctions]],DROPDOWN[Dropdown82],1,FALSE))=TRUE,"Veuillez utiliser les allocations parmis la liste déroulante.",""))</f>
        <v/>
      </c>
    </row>
    <row r="344" spans="1:35" x14ac:dyDescent="0.25">
      <c r="A344" s="72" t="str">
        <f>IF(CCTSAS[[#This Row],[Carrière]]="","",IF(ISNA(VLOOKUP(CCTSAS[[#This Row],[Carrière]],DROPDOWN[Dropdown9],1,FALSE))=TRUE,"Carrière: Utiliser la liste déroulante",""))</f>
        <v/>
      </c>
      <c r="B344" s="554" t="str">
        <f>IF(CCTSAS[[#This Row],[Matricule]]="","",MAX($B$7:B343)+1)</f>
        <v/>
      </c>
      <c r="C344" s="8"/>
      <c r="D344" s="8"/>
      <c r="E344" s="20"/>
      <c r="F344" s="63"/>
      <c r="G344" s="8"/>
      <c r="H344" s="8"/>
      <c r="I344" s="10"/>
      <c r="J344" s="10"/>
      <c r="K344" s="9"/>
      <c r="L344" s="9"/>
      <c r="M344" s="9"/>
      <c r="N34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4" s="660"/>
      <c r="P344" s="660"/>
      <c r="Q344" s="461"/>
      <c r="R344" s="381"/>
      <c r="S344" s="37"/>
      <c r="T344" s="37"/>
      <c r="U344" s="37"/>
      <c r="V344" s="37"/>
      <c r="W344" s="37"/>
      <c r="X344" s="37"/>
      <c r="Y34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4" s="37"/>
      <c r="AA344" s="662" t="str">
        <f>IF(COUNTA(CCTSAS[[#This Row],[Nom]:[heures annuelles
selon contrat(s)]])=0,"",CCTSAS[[#This Row],[Total global]]-ABS(CCTSAS[[#This Row],[Dont non opposable]]))</f>
        <v/>
      </c>
      <c r="AB344" s="8"/>
      <c r="AC344" s="63"/>
      <c r="AD344" s="428"/>
      <c r="AE344" s="428"/>
      <c r="AF344" s="428"/>
      <c r="AG344" s="43"/>
      <c r="AH344" s="183" t="str">
        <f>IF(COUNTA(CCTSAS[[#This Row],[Nom]:[heures annuelles
selon contrat(s)]])=0,"",REVEX!$E$9)</f>
        <v/>
      </c>
      <c r="AI344" s="72" t="str">
        <f>IF(CCTSAS[[#This Row],[Allocation fonctions]]="","",IF(ISNA(VLOOKUP(CCTSAS[[#This Row],[Allocation fonctions]],DROPDOWN[Dropdown82],1,FALSE))=TRUE,"Veuillez utiliser les allocations parmis la liste déroulante.",""))</f>
        <v/>
      </c>
    </row>
    <row r="345" spans="1:35" x14ac:dyDescent="0.25">
      <c r="A345" s="72" t="str">
        <f>IF(CCTSAS[[#This Row],[Carrière]]="","",IF(ISNA(VLOOKUP(CCTSAS[[#This Row],[Carrière]],DROPDOWN[Dropdown9],1,FALSE))=TRUE,"Carrière: Utiliser la liste déroulante",""))</f>
        <v/>
      </c>
      <c r="B345" s="554" t="str">
        <f>IF(CCTSAS[[#This Row],[Matricule]]="","",MAX($B$7:B344)+1)</f>
        <v/>
      </c>
      <c r="C345" s="8"/>
      <c r="D345" s="8"/>
      <c r="E345" s="20"/>
      <c r="F345" s="63"/>
      <c r="G345" s="8"/>
      <c r="H345" s="8"/>
      <c r="I345" s="10"/>
      <c r="J345" s="10"/>
      <c r="K345" s="9"/>
      <c r="L345" s="9"/>
      <c r="M345" s="9"/>
      <c r="N34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5" s="660"/>
      <c r="P345" s="660"/>
      <c r="Q345" s="461"/>
      <c r="R345" s="381"/>
      <c r="S345" s="37"/>
      <c r="T345" s="37"/>
      <c r="U345" s="37"/>
      <c r="V345" s="37"/>
      <c r="W345" s="37"/>
      <c r="X345" s="37"/>
      <c r="Y34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5" s="37"/>
      <c r="AA345" s="662" t="str">
        <f>IF(COUNTA(CCTSAS[[#This Row],[Nom]:[heures annuelles
selon contrat(s)]])=0,"",CCTSAS[[#This Row],[Total global]]-ABS(CCTSAS[[#This Row],[Dont non opposable]]))</f>
        <v/>
      </c>
      <c r="AB345" s="8"/>
      <c r="AC345" s="63"/>
      <c r="AD345" s="428"/>
      <c r="AE345" s="428"/>
      <c r="AF345" s="428"/>
      <c r="AG345" s="43"/>
      <c r="AH345" s="183" t="str">
        <f>IF(COUNTA(CCTSAS[[#This Row],[Nom]:[heures annuelles
selon contrat(s)]])=0,"",REVEX!$E$9)</f>
        <v/>
      </c>
      <c r="AI345" s="72" t="str">
        <f>IF(CCTSAS[[#This Row],[Allocation fonctions]]="","",IF(ISNA(VLOOKUP(CCTSAS[[#This Row],[Allocation fonctions]],DROPDOWN[Dropdown82],1,FALSE))=TRUE,"Veuillez utiliser les allocations parmis la liste déroulante.",""))</f>
        <v/>
      </c>
    </row>
    <row r="346" spans="1:35" x14ac:dyDescent="0.25">
      <c r="A346" s="72" t="str">
        <f>IF(CCTSAS[[#This Row],[Carrière]]="","",IF(ISNA(VLOOKUP(CCTSAS[[#This Row],[Carrière]],DROPDOWN[Dropdown9],1,FALSE))=TRUE,"Carrière: Utiliser la liste déroulante",""))</f>
        <v/>
      </c>
      <c r="B346" s="554" t="str">
        <f>IF(CCTSAS[[#This Row],[Matricule]]="","",MAX($B$7:B345)+1)</f>
        <v/>
      </c>
      <c r="C346" s="8"/>
      <c r="D346" s="8"/>
      <c r="E346" s="20"/>
      <c r="F346" s="63"/>
      <c r="G346" s="8"/>
      <c r="H346" s="8"/>
      <c r="I346" s="10"/>
      <c r="J346" s="10"/>
      <c r="K346" s="9"/>
      <c r="L346" s="9"/>
      <c r="M346" s="9"/>
      <c r="N34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6" s="660"/>
      <c r="P346" s="660"/>
      <c r="Q346" s="461"/>
      <c r="R346" s="381"/>
      <c r="S346" s="37"/>
      <c r="T346" s="37"/>
      <c r="U346" s="37"/>
      <c r="V346" s="37"/>
      <c r="W346" s="37"/>
      <c r="X346" s="37"/>
      <c r="Y34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6" s="37"/>
      <c r="AA346" s="662" t="str">
        <f>IF(COUNTA(CCTSAS[[#This Row],[Nom]:[heures annuelles
selon contrat(s)]])=0,"",CCTSAS[[#This Row],[Total global]]-ABS(CCTSAS[[#This Row],[Dont non opposable]]))</f>
        <v/>
      </c>
      <c r="AB346" s="8"/>
      <c r="AC346" s="63"/>
      <c r="AD346" s="428"/>
      <c r="AE346" s="428"/>
      <c r="AF346" s="428"/>
      <c r="AG346" s="43"/>
      <c r="AH346" s="183" t="str">
        <f>IF(COUNTA(CCTSAS[[#This Row],[Nom]:[heures annuelles
selon contrat(s)]])=0,"",REVEX!$E$9)</f>
        <v/>
      </c>
      <c r="AI346" s="72" t="str">
        <f>IF(CCTSAS[[#This Row],[Allocation fonctions]]="","",IF(ISNA(VLOOKUP(CCTSAS[[#This Row],[Allocation fonctions]],DROPDOWN[Dropdown82],1,FALSE))=TRUE,"Veuillez utiliser les allocations parmis la liste déroulante.",""))</f>
        <v/>
      </c>
    </row>
    <row r="347" spans="1:35" x14ac:dyDescent="0.25">
      <c r="A347" s="72" t="str">
        <f>IF(CCTSAS[[#This Row],[Carrière]]="","",IF(ISNA(VLOOKUP(CCTSAS[[#This Row],[Carrière]],DROPDOWN[Dropdown9],1,FALSE))=TRUE,"Carrière: Utiliser la liste déroulante",""))</f>
        <v/>
      </c>
      <c r="B347" s="554" t="str">
        <f>IF(CCTSAS[[#This Row],[Matricule]]="","",MAX($B$7:B346)+1)</f>
        <v/>
      </c>
      <c r="C347" s="8"/>
      <c r="D347" s="8"/>
      <c r="E347" s="20"/>
      <c r="F347" s="63"/>
      <c r="G347" s="8"/>
      <c r="H347" s="8"/>
      <c r="I347" s="10"/>
      <c r="J347" s="10"/>
      <c r="K347" s="9"/>
      <c r="L347" s="9"/>
      <c r="M347" s="9"/>
      <c r="N34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7" s="660"/>
      <c r="P347" s="660"/>
      <c r="Q347" s="461"/>
      <c r="R347" s="381"/>
      <c r="S347" s="37"/>
      <c r="T347" s="37"/>
      <c r="U347" s="37"/>
      <c r="V347" s="37"/>
      <c r="W347" s="37"/>
      <c r="X347" s="37"/>
      <c r="Y34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7" s="37"/>
      <c r="AA347" s="662" t="str">
        <f>IF(COUNTA(CCTSAS[[#This Row],[Nom]:[heures annuelles
selon contrat(s)]])=0,"",CCTSAS[[#This Row],[Total global]]-ABS(CCTSAS[[#This Row],[Dont non opposable]]))</f>
        <v/>
      </c>
      <c r="AB347" s="8"/>
      <c r="AC347" s="63"/>
      <c r="AD347" s="428"/>
      <c r="AE347" s="428"/>
      <c r="AF347" s="428"/>
      <c r="AG347" s="43"/>
      <c r="AH347" s="183" t="str">
        <f>IF(COUNTA(CCTSAS[[#This Row],[Nom]:[heures annuelles
selon contrat(s)]])=0,"",REVEX!$E$9)</f>
        <v/>
      </c>
      <c r="AI347" s="72" t="str">
        <f>IF(CCTSAS[[#This Row],[Allocation fonctions]]="","",IF(ISNA(VLOOKUP(CCTSAS[[#This Row],[Allocation fonctions]],DROPDOWN[Dropdown82],1,FALSE))=TRUE,"Veuillez utiliser les allocations parmis la liste déroulante.",""))</f>
        <v/>
      </c>
    </row>
    <row r="348" spans="1:35" x14ac:dyDescent="0.25">
      <c r="A348" s="72" t="str">
        <f>IF(CCTSAS[[#This Row],[Carrière]]="","",IF(ISNA(VLOOKUP(CCTSAS[[#This Row],[Carrière]],DROPDOWN[Dropdown9],1,FALSE))=TRUE,"Carrière: Utiliser la liste déroulante",""))</f>
        <v/>
      </c>
      <c r="B348" s="554" t="str">
        <f>IF(CCTSAS[[#This Row],[Matricule]]="","",MAX($B$7:B347)+1)</f>
        <v/>
      </c>
      <c r="C348" s="8"/>
      <c r="D348" s="8"/>
      <c r="E348" s="20"/>
      <c r="F348" s="63"/>
      <c r="G348" s="8"/>
      <c r="H348" s="8"/>
      <c r="I348" s="10"/>
      <c r="J348" s="10"/>
      <c r="K348" s="9"/>
      <c r="L348" s="9"/>
      <c r="M348" s="9"/>
      <c r="N34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8" s="660"/>
      <c r="P348" s="660"/>
      <c r="Q348" s="461"/>
      <c r="R348" s="381"/>
      <c r="S348" s="37"/>
      <c r="T348" s="37"/>
      <c r="U348" s="37"/>
      <c r="V348" s="37"/>
      <c r="W348" s="37"/>
      <c r="X348" s="37"/>
      <c r="Y34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8" s="37"/>
      <c r="AA348" s="662" t="str">
        <f>IF(COUNTA(CCTSAS[[#This Row],[Nom]:[heures annuelles
selon contrat(s)]])=0,"",CCTSAS[[#This Row],[Total global]]-ABS(CCTSAS[[#This Row],[Dont non opposable]]))</f>
        <v/>
      </c>
      <c r="AB348" s="8"/>
      <c r="AC348" s="63"/>
      <c r="AD348" s="428"/>
      <c r="AE348" s="428"/>
      <c r="AF348" s="428"/>
      <c r="AG348" s="43"/>
      <c r="AH348" s="183" t="str">
        <f>IF(COUNTA(CCTSAS[[#This Row],[Nom]:[heures annuelles
selon contrat(s)]])=0,"",REVEX!$E$9)</f>
        <v/>
      </c>
      <c r="AI348" s="72" t="str">
        <f>IF(CCTSAS[[#This Row],[Allocation fonctions]]="","",IF(ISNA(VLOOKUP(CCTSAS[[#This Row],[Allocation fonctions]],DROPDOWN[Dropdown82],1,FALSE))=TRUE,"Veuillez utiliser les allocations parmis la liste déroulante.",""))</f>
        <v/>
      </c>
    </row>
    <row r="349" spans="1:35" x14ac:dyDescent="0.25">
      <c r="A349" s="72" t="str">
        <f>IF(CCTSAS[[#This Row],[Carrière]]="","",IF(ISNA(VLOOKUP(CCTSAS[[#This Row],[Carrière]],DROPDOWN[Dropdown9],1,FALSE))=TRUE,"Carrière: Utiliser la liste déroulante",""))</f>
        <v/>
      </c>
      <c r="B349" s="554" t="str">
        <f>IF(CCTSAS[[#This Row],[Matricule]]="","",MAX($B$7:B348)+1)</f>
        <v/>
      </c>
      <c r="C349" s="8"/>
      <c r="D349" s="8"/>
      <c r="E349" s="20"/>
      <c r="F349" s="63"/>
      <c r="G349" s="8"/>
      <c r="H349" s="8"/>
      <c r="I349" s="10"/>
      <c r="J349" s="10"/>
      <c r="K349" s="9"/>
      <c r="L349" s="9"/>
      <c r="M349" s="9"/>
      <c r="N34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49" s="660"/>
      <c r="P349" s="660"/>
      <c r="Q349" s="461"/>
      <c r="R349" s="381"/>
      <c r="S349" s="37"/>
      <c r="T349" s="37"/>
      <c r="U349" s="37"/>
      <c r="V349" s="37"/>
      <c r="W349" s="37"/>
      <c r="X349" s="37"/>
      <c r="Y34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49" s="37"/>
      <c r="AA349" s="662" t="str">
        <f>IF(COUNTA(CCTSAS[[#This Row],[Nom]:[heures annuelles
selon contrat(s)]])=0,"",CCTSAS[[#This Row],[Total global]]-ABS(CCTSAS[[#This Row],[Dont non opposable]]))</f>
        <v/>
      </c>
      <c r="AB349" s="8"/>
      <c r="AC349" s="63"/>
      <c r="AD349" s="428"/>
      <c r="AE349" s="428"/>
      <c r="AF349" s="428"/>
      <c r="AG349" s="43"/>
      <c r="AH349" s="183" t="str">
        <f>IF(COUNTA(CCTSAS[[#This Row],[Nom]:[heures annuelles
selon contrat(s)]])=0,"",REVEX!$E$9)</f>
        <v/>
      </c>
      <c r="AI349" s="72" t="str">
        <f>IF(CCTSAS[[#This Row],[Allocation fonctions]]="","",IF(ISNA(VLOOKUP(CCTSAS[[#This Row],[Allocation fonctions]],DROPDOWN[Dropdown82],1,FALSE))=TRUE,"Veuillez utiliser les allocations parmis la liste déroulante.",""))</f>
        <v/>
      </c>
    </row>
    <row r="350" spans="1:35" x14ac:dyDescent="0.25">
      <c r="A350" s="72" t="str">
        <f>IF(CCTSAS[[#This Row],[Carrière]]="","",IF(ISNA(VLOOKUP(CCTSAS[[#This Row],[Carrière]],DROPDOWN[Dropdown9],1,FALSE))=TRUE,"Carrière: Utiliser la liste déroulante",""))</f>
        <v/>
      </c>
      <c r="B350" s="554" t="str">
        <f>IF(CCTSAS[[#This Row],[Matricule]]="","",MAX($B$7:B349)+1)</f>
        <v/>
      </c>
      <c r="C350" s="8"/>
      <c r="D350" s="8"/>
      <c r="E350" s="20"/>
      <c r="F350" s="63"/>
      <c r="G350" s="8"/>
      <c r="H350" s="8"/>
      <c r="I350" s="10"/>
      <c r="J350" s="10"/>
      <c r="K350" s="9"/>
      <c r="L350" s="9"/>
      <c r="M350" s="9"/>
      <c r="N35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0" s="660"/>
      <c r="P350" s="660"/>
      <c r="Q350" s="461"/>
      <c r="R350" s="381"/>
      <c r="S350" s="37"/>
      <c r="T350" s="37"/>
      <c r="U350" s="37"/>
      <c r="V350" s="37"/>
      <c r="W350" s="37"/>
      <c r="X350" s="37"/>
      <c r="Y35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0" s="37"/>
      <c r="AA350" s="662" t="str">
        <f>IF(COUNTA(CCTSAS[[#This Row],[Nom]:[heures annuelles
selon contrat(s)]])=0,"",CCTSAS[[#This Row],[Total global]]-ABS(CCTSAS[[#This Row],[Dont non opposable]]))</f>
        <v/>
      </c>
      <c r="AB350" s="8"/>
      <c r="AC350" s="63"/>
      <c r="AD350" s="428"/>
      <c r="AE350" s="428"/>
      <c r="AF350" s="428"/>
      <c r="AG350" s="43"/>
      <c r="AH350" s="183" t="str">
        <f>IF(COUNTA(CCTSAS[[#This Row],[Nom]:[heures annuelles
selon contrat(s)]])=0,"",REVEX!$E$9)</f>
        <v/>
      </c>
      <c r="AI350" s="72" t="str">
        <f>IF(CCTSAS[[#This Row],[Allocation fonctions]]="","",IF(ISNA(VLOOKUP(CCTSAS[[#This Row],[Allocation fonctions]],DROPDOWN[Dropdown82],1,FALSE))=TRUE,"Veuillez utiliser les allocations parmis la liste déroulante.",""))</f>
        <v/>
      </c>
    </row>
    <row r="351" spans="1:35" x14ac:dyDescent="0.25">
      <c r="A351" s="72" t="str">
        <f>IF(CCTSAS[[#This Row],[Carrière]]="","",IF(ISNA(VLOOKUP(CCTSAS[[#This Row],[Carrière]],DROPDOWN[Dropdown9],1,FALSE))=TRUE,"Carrière: Utiliser la liste déroulante",""))</f>
        <v/>
      </c>
      <c r="B351" s="554" t="str">
        <f>IF(CCTSAS[[#This Row],[Matricule]]="","",MAX($B$7:B350)+1)</f>
        <v/>
      </c>
      <c r="C351" s="8"/>
      <c r="D351" s="8"/>
      <c r="E351" s="20"/>
      <c r="F351" s="63"/>
      <c r="G351" s="8"/>
      <c r="H351" s="8"/>
      <c r="I351" s="10"/>
      <c r="J351" s="10"/>
      <c r="K351" s="9"/>
      <c r="L351" s="9"/>
      <c r="M351" s="9"/>
      <c r="N35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1" s="660"/>
      <c r="P351" s="660"/>
      <c r="Q351" s="461"/>
      <c r="R351" s="381"/>
      <c r="S351" s="37"/>
      <c r="T351" s="37"/>
      <c r="U351" s="37"/>
      <c r="V351" s="37"/>
      <c r="W351" s="37"/>
      <c r="X351" s="37"/>
      <c r="Y35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1" s="37"/>
      <c r="AA351" s="662" t="str">
        <f>IF(COUNTA(CCTSAS[[#This Row],[Nom]:[heures annuelles
selon contrat(s)]])=0,"",CCTSAS[[#This Row],[Total global]]-ABS(CCTSAS[[#This Row],[Dont non opposable]]))</f>
        <v/>
      </c>
      <c r="AB351" s="8"/>
      <c r="AC351" s="63"/>
      <c r="AD351" s="428"/>
      <c r="AE351" s="428"/>
      <c r="AF351" s="428"/>
      <c r="AG351" s="43"/>
      <c r="AH351" s="183" t="str">
        <f>IF(COUNTA(CCTSAS[[#This Row],[Nom]:[heures annuelles
selon contrat(s)]])=0,"",REVEX!$E$9)</f>
        <v/>
      </c>
      <c r="AI351" s="72" t="str">
        <f>IF(CCTSAS[[#This Row],[Allocation fonctions]]="","",IF(ISNA(VLOOKUP(CCTSAS[[#This Row],[Allocation fonctions]],DROPDOWN[Dropdown82],1,FALSE))=TRUE,"Veuillez utiliser les allocations parmis la liste déroulante.",""))</f>
        <v/>
      </c>
    </row>
    <row r="352" spans="1:35" x14ac:dyDescent="0.25">
      <c r="A352" s="72" t="str">
        <f>IF(CCTSAS[[#This Row],[Carrière]]="","",IF(ISNA(VLOOKUP(CCTSAS[[#This Row],[Carrière]],DROPDOWN[Dropdown9],1,FALSE))=TRUE,"Carrière: Utiliser la liste déroulante",""))</f>
        <v/>
      </c>
      <c r="B352" s="554" t="str">
        <f>IF(CCTSAS[[#This Row],[Matricule]]="","",MAX($B$7:B351)+1)</f>
        <v/>
      </c>
      <c r="C352" s="8"/>
      <c r="D352" s="8"/>
      <c r="E352" s="20"/>
      <c r="F352" s="63"/>
      <c r="G352" s="8"/>
      <c r="H352" s="8"/>
      <c r="I352" s="10"/>
      <c r="J352" s="10"/>
      <c r="K352" s="9"/>
      <c r="L352" s="9"/>
      <c r="M352" s="9"/>
      <c r="N35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2" s="660"/>
      <c r="P352" s="660"/>
      <c r="Q352" s="461"/>
      <c r="R352" s="381"/>
      <c r="S352" s="37"/>
      <c r="T352" s="37"/>
      <c r="U352" s="37"/>
      <c r="V352" s="37"/>
      <c r="W352" s="37"/>
      <c r="X352" s="37"/>
      <c r="Y35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2" s="37"/>
      <c r="AA352" s="662" t="str">
        <f>IF(COUNTA(CCTSAS[[#This Row],[Nom]:[heures annuelles
selon contrat(s)]])=0,"",CCTSAS[[#This Row],[Total global]]-ABS(CCTSAS[[#This Row],[Dont non opposable]]))</f>
        <v/>
      </c>
      <c r="AB352" s="8"/>
      <c r="AC352" s="63"/>
      <c r="AD352" s="428"/>
      <c r="AE352" s="428"/>
      <c r="AF352" s="428"/>
      <c r="AG352" s="43"/>
      <c r="AH352" s="183" t="str">
        <f>IF(COUNTA(CCTSAS[[#This Row],[Nom]:[heures annuelles
selon contrat(s)]])=0,"",REVEX!$E$9)</f>
        <v/>
      </c>
      <c r="AI352" s="72" t="str">
        <f>IF(CCTSAS[[#This Row],[Allocation fonctions]]="","",IF(ISNA(VLOOKUP(CCTSAS[[#This Row],[Allocation fonctions]],DROPDOWN[Dropdown82],1,FALSE))=TRUE,"Veuillez utiliser les allocations parmis la liste déroulante.",""))</f>
        <v/>
      </c>
    </row>
    <row r="353" spans="1:35" x14ac:dyDescent="0.25">
      <c r="A353" s="72" t="str">
        <f>IF(CCTSAS[[#This Row],[Carrière]]="","",IF(ISNA(VLOOKUP(CCTSAS[[#This Row],[Carrière]],DROPDOWN[Dropdown9],1,FALSE))=TRUE,"Carrière: Utiliser la liste déroulante",""))</f>
        <v/>
      </c>
      <c r="B353" s="554" t="str">
        <f>IF(CCTSAS[[#This Row],[Matricule]]="","",MAX($B$7:B352)+1)</f>
        <v/>
      </c>
      <c r="C353" s="8"/>
      <c r="D353" s="8"/>
      <c r="E353" s="20"/>
      <c r="F353" s="63"/>
      <c r="G353" s="8"/>
      <c r="H353" s="8"/>
      <c r="I353" s="10"/>
      <c r="J353" s="10"/>
      <c r="K353" s="9"/>
      <c r="L353" s="9"/>
      <c r="M353" s="9"/>
      <c r="N35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3" s="660"/>
      <c r="P353" s="660"/>
      <c r="Q353" s="461"/>
      <c r="R353" s="381"/>
      <c r="S353" s="37"/>
      <c r="T353" s="37"/>
      <c r="U353" s="37"/>
      <c r="V353" s="37"/>
      <c r="W353" s="37"/>
      <c r="X353" s="37"/>
      <c r="Y35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3" s="37"/>
      <c r="AA353" s="662" t="str">
        <f>IF(COUNTA(CCTSAS[[#This Row],[Nom]:[heures annuelles
selon contrat(s)]])=0,"",CCTSAS[[#This Row],[Total global]]-ABS(CCTSAS[[#This Row],[Dont non opposable]]))</f>
        <v/>
      </c>
      <c r="AB353" s="8"/>
      <c r="AC353" s="63"/>
      <c r="AD353" s="428"/>
      <c r="AE353" s="428"/>
      <c r="AF353" s="428"/>
      <c r="AG353" s="43"/>
      <c r="AH353" s="183" t="str">
        <f>IF(COUNTA(CCTSAS[[#This Row],[Nom]:[heures annuelles
selon contrat(s)]])=0,"",REVEX!$E$9)</f>
        <v/>
      </c>
      <c r="AI353" s="72" t="str">
        <f>IF(CCTSAS[[#This Row],[Allocation fonctions]]="","",IF(ISNA(VLOOKUP(CCTSAS[[#This Row],[Allocation fonctions]],DROPDOWN[Dropdown82],1,FALSE))=TRUE,"Veuillez utiliser les allocations parmis la liste déroulante.",""))</f>
        <v/>
      </c>
    </row>
    <row r="354" spans="1:35" x14ac:dyDescent="0.25">
      <c r="A354" s="72" t="str">
        <f>IF(CCTSAS[[#This Row],[Carrière]]="","",IF(ISNA(VLOOKUP(CCTSAS[[#This Row],[Carrière]],DROPDOWN[Dropdown9],1,FALSE))=TRUE,"Carrière: Utiliser la liste déroulante",""))</f>
        <v/>
      </c>
      <c r="B354" s="554" t="str">
        <f>IF(CCTSAS[[#This Row],[Matricule]]="","",MAX($B$7:B353)+1)</f>
        <v/>
      </c>
      <c r="C354" s="8"/>
      <c r="D354" s="8"/>
      <c r="E354" s="20"/>
      <c r="F354" s="63"/>
      <c r="G354" s="8"/>
      <c r="H354" s="8"/>
      <c r="I354" s="10"/>
      <c r="J354" s="10"/>
      <c r="K354" s="9"/>
      <c r="L354" s="9"/>
      <c r="M354" s="9"/>
      <c r="N35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4" s="660"/>
      <c r="P354" s="660"/>
      <c r="Q354" s="461"/>
      <c r="R354" s="381"/>
      <c r="S354" s="37"/>
      <c r="T354" s="37"/>
      <c r="U354" s="37"/>
      <c r="V354" s="37"/>
      <c r="W354" s="37"/>
      <c r="X354" s="37"/>
      <c r="Y35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4" s="37"/>
      <c r="AA354" s="662" t="str">
        <f>IF(COUNTA(CCTSAS[[#This Row],[Nom]:[heures annuelles
selon contrat(s)]])=0,"",CCTSAS[[#This Row],[Total global]]-ABS(CCTSAS[[#This Row],[Dont non opposable]]))</f>
        <v/>
      </c>
      <c r="AB354" s="8"/>
      <c r="AC354" s="63"/>
      <c r="AD354" s="428"/>
      <c r="AE354" s="428"/>
      <c r="AF354" s="428"/>
      <c r="AG354" s="43"/>
      <c r="AH354" s="183" t="str">
        <f>IF(COUNTA(CCTSAS[[#This Row],[Nom]:[heures annuelles
selon contrat(s)]])=0,"",REVEX!$E$9)</f>
        <v/>
      </c>
      <c r="AI354" s="72" t="str">
        <f>IF(CCTSAS[[#This Row],[Allocation fonctions]]="","",IF(ISNA(VLOOKUP(CCTSAS[[#This Row],[Allocation fonctions]],DROPDOWN[Dropdown82],1,FALSE))=TRUE,"Veuillez utiliser les allocations parmis la liste déroulante.",""))</f>
        <v/>
      </c>
    </row>
    <row r="355" spans="1:35" x14ac:dyDescent="0.25">
      <c r="A355" s="72" t="str">
        <f>IF(CCTSAS[[#This Row],[Carrière]]="","",IF(ISNA(VLOOKUP(CCTSAS[[#This Row],[Carrière]],DROPDOWN[Dropdown9],1,FALSE))=TRUE,"Carrière: Utiliser la liste déroulante",""))</f>
        <v/>
      </c>
      <c r="B355" s="554" t="str">
        <f>IF(CCTSAS[[#This Row],[Matricule]]="","",MAX($B$7:B354)+1)</f>
        <v/>
      </c>
      <c r="C355" s="8"/>
      <c r="D355" s="8"/>
      <c r="E355" s="20"/>
      <c r="F355" s="63"/>
      <c r="G355" s="8"/>
      <c r="H355" s="8"/>
      <c r="I355" s="10"/>
      <c r="J355" s="10"/>
      <c r="K355" s="9"/>
      <c r="L355" s="9"/>
      <c r="M355" s="9"/>
      <c r="N35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5" s="660"/>
      <c r="P355" s="660"/>
      <c r="Q355" s="461"/>
      <c r="R355" s="381"/>
      <c r="S355" s="37"/>
      <c r="T355" s="37"/>
      <c r="U355" s="37"/>
      <c r="V355" s="37"/>
      <c r="W355" s="37"/>
      <c r="X355" s="37"/>
      <c r="Y35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5" s="37"/>
      <c r="AA355" s="662" t="str">
        <f>IF(COUNTA(CCTSAS[[#This Row],[Nom]:[heures annuelles
selon contrat(s)]])=0,"",CCTSAS[[#This Row],[Total global]]-ABS(CCTSAS[[#This Row],[Dont non opposable]]))</f>
        <v/>
      </c>
      <c r="AB355" s="8"/>
      <c r="AC355" s="63"/>
      <c r="AD355" s="428"/>
      <c r="AE355" s="428"/>
      <c r="AF355" s="428"/>
      <c r="AG355" s="43"/>
      <c r="AH355" s="183" t="str">
        <f>IF(COUNTA(CCTSAS[[#This Row],[Nom]:[heures annuelles
selon contrat(s)]])=0,"",REVEX!$E$9)</f>
        <v/>
      </c>
      <c r="AI355" s="72" t="str">
        <f>IF(CCTSAS[[#This Row],[Allocation fonctions]]="","",IF(ISNA(VLOOKUP(CCTSAS[[#This Row],[Allocation fonctions]],DROPDOWN[Dropdown82],1,FALSE))=TRUE,"Veuillez utiliser les allocations parmis la liste déroulante.",""))</f>
        <v/>
      </c>
    </row>
    <row r="356" spans="1:35" x14ac:dyDescent="0.25">
      <c r="A356" s="72" t="str">
        <f>IF(CCTSAS[[#This Row],[Carrière]]="","",IF(ISNA(VLOOKUP(CCTSAS[[#This Row],[Carrière]],DROPDOWN[Dropdown9],1,FALSE))=TRUE,"Carrière: Utiliser la liste déroulante",""))</f>
        <v/>
      </c>
      <c r="B356" s="554" t="str">
        <f>IF(CCTSAS[[#This Row],[Matricule]]="","",MAX($B$7:B355)+1)</f>
        <v/>
      </c>
      <c r="C356" s="8"/>
      <c r="D356" s="8"/>
      <c r="E356" s="20"/>
      <c r="F356" s="63"/>
      <c r="G356" s="8"/>
      <c r="H356" s="8"/>
      <c r="I356" s="10"/>
      <c r="J356" s="10"/>
      <c r="K356" s="9"/>
      <c r="L356" s="9"/>
      <c r="M356" s="9"/>
      <c r="N35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6" s="660"/>
      <c r="P356" s="660"/>
      <c r="Q356" s="461"/>
      <c r="R356" s="381"/>
      <c r="S356" s="37"/>
      <c r="T356" s="37"/>
      <c r="U356" s="37"/>
      <c r="V356" s="37"/>
      <c r="W356" s="37"/>
      <c r="X356" s="37"/>
      <c r="Y35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6" s="37"/>
      <c r="AA356" s="662" t="str">
        <f>IF(COUNTA(CCTSAS[[#This Row],[Nom]:[heures annuelles
selon contrat(s)]])=0,"",CCTSAS[[#This Row],[Total global]]-ABS(CCTSAS[[#This Row],[Dont non opposable]]))</f>
        <v/>
      </c>
      <c r="AB356" s="8"/>
      <c r="AC356" s="63"/>
      <c r="AD356" s="428"/>
      <c r="AE356" s="428"/>
      <c r="AF356" s="428"/>
      <c r="AG356" s="43"/>
      <c r="AH356" s="183" t="str">
        <f>IF(COUNTA(CCTSAS[[#This Row],[Nom]:[heures annuelles
selon contrat(s)]])=0,"",REVEX!$E$9)</f>
        <v/>
      </c>
      <c r="AI356" s="72" t="str">
        <f>IF(CCTSAS[[#This Row],[Allocation fonctions]]="","",IF(ISNA(VLOOKUP(CCTSAS[[#This Row],[Allocation fonctions]],DROPDOWN[Dropdown82],1,FALSE))=TRUE,"Veuillez utiliser les allocations parmis la liste déroulante.",""))</f>
        <v/>
      </c>
    </row>
    <row r="357" spans="1:35" x14ac:dyDescent="0.25">
      <c r="A357" s="72" t="str">
        <f>IF(CCTSAS[[#This Row],[Carrière]]="","",IF(ISNA(VLOOKUP(CCTSAS[[#This Row],[Carrière]],DROPDOWN[Dropdown9],1,FALSE))=TRUE,"Carrière: Utiliser la liste déroulante",""))</f>
        <v/>
      </c>
      <c r="B357" s="554" t="str">
        <f>IF(CCTSAS[[#This Row],[Matricule]]="","",MAX($B$7:B356)+1)</f>
        <v/>
      </c>
      <c r="C357" s="8"/>
      <c r="D357" s="8"/>
      <c r="E357" s="20"/>
      <c r="F357" s="63"/>
      <c r="G357" s="8"/>
      <c r="H357" s="8"/>
      <c r="I357" s="10"/>
      <c r="J357" s="10"/>
      <c r="K357" s="9"/>
      <c r="L357" s="9"/>
      <c r="M357" s="9"/>
      <c r="N35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7" s="660"/>
      <c r="P357" s="660"/>
      <c r="Q357" s="461"/>
      <c r="R357" s="381"/>
      <c r="S357" s="37"/>
      <c r="T357" s="37"/>
      <c r="U357" s="37"/>
      <c r="V357" s="37"/>
      <c r="W357" s="37"/>
      <c r="X357" s="37"/>
      <c r="Y35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7" s="37"/>
      <c r="AA357" s="662" t="str">
        <f>IF(COUNTA(CCTSAS[[#This Row],[Nom]:[heures annuelles
selon contrat(s)]])=0,"",CCTSAS[[#This Row],[Total global]]-ABS(CCTSAS[[#This Row],[Dont non opposable]]))</f>
        <v/>
      </c>
      <c r="AB357" s="8"/>
      <c r="AC357" s="63"/>
      <c r="AD357" s="428"/>
      <c r="AE357" s="428"/>
      <c r="AF357" s="428"/>
      <c r="AG357" s="43"/>
      <c r="AH357" s="183" t="str">
        <f>IF(COUNTA(CCTSAS[[#This Row],[Nom]:[heures annuelles
selon contrat(s)]])=0,"",REVEX!$E$9)</f>
        <v/>
      </c>
      <c r="AI357" s="72" t="str">
        <f>IF(CCTSAS[[#This Row],[Allocation fonctions]]="","",IF(ISNA(VLOOKUP(CCTSAS[[#This Row],[Allocation fonctions]],DROPDOWN[Dropdown82],1,FALSE))=TRUE,"Veuillez utiliser les allocations parmis la liste déroulante.",""))</f>
        <v/>
      </c>
    </row>
    <row r="358" spans="1:35" x14ac:dyDescent="0.25">
      <c r="A358" s="72" t="str">
        <f>IF(CCTSAS[[#This Row],[Carrière]]="","",IF(ISNA(VLOOKUP(CCTSAS[[#This Row],[Carrière]],DROPDOWN[Dropdown9],1,FALSE))=TRUE,"Carrière: Utiliser la liste déroulante",""))</f>
        <v/>
      </c>
      <c r="B358" s="554" t="str">
        <f>IF(CCTSAS[[#This Row],[Matricule]]="","",MAX($B$7:B357)+1)</f>
        <v/>
      </c>
      <c r="C358" s="8"/>
      <c r="D358" s="8"/>
      <c r="E358" s="20"/>
      <c r="F358" s="63"/>
      <c r="G358" s="8"/>
      <c r="H358" s="8"/>
      <c r="I358" s="10"/>
      <c r="J358" s="10"/>
      <c r="K358" s="9"/>
      <c r="L358" s="9"/>
      <c r="M358" s="9"/>
      <c r="N35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8" s="660"/>
      <c r="P358" s="660"/>
      <c r="Q358" s="461"/>
      <c r="R358" s="381"/>
      <c r="S358" s="37"/>
      <c r="T358" s="37"/>
      <c r="U358" s="37"/>
      <c r="V358" s="37"/>
      <c r="W358" s="37"/>
      <c r="X358" s="37"/>
      <c r="Y35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8" s="37"/>
      <c r="AA358" s="662" t="str">
        <f>IF(COUNTA(CCTSAS[[#This Row],[Nom]:[heures annuelles
selon contrat(s)]])=0,"",CCTSAS[[#This Row],[Total global]]-ABS(CCTSAS[[#This Row],[Dont non opposable]]))</f>
        <v/>
      </c>
      <c r="AB358" s="8"/>
      <c r="AC358" s="63"/>
      <c r="AD358" s="428"/>
      <c r="AE358" s="428"/>
      <c r="AF358" s="428"/>
      <c r="AG358" s="43"/>
      <c r="AH358" s="183" t="str">
        <f>IF(COUNTA(CCTSAS[[#This Row],[Nom]:[heures annuelles
selon contrat(s)]])=0,"",REVEX!$E$9)</f>
        <v/>
      </c>
      <c r="AI358" s="72" t="str">
        <f>IF(CCTSAS[[#This Row],[Allocation fonctions]]="","",IF(ISNA(VLOOKUP(CCTSAS[[#This Row],[Allocation fonctions]],DROPDOWN[Dropdown82],1,FALSE))=TRUE,"Veuillez utiliser les allocations parmis la liste déroulante.",""))</f>
        <v/>
      </c>
    </row>
    <row r="359" spans="1:35" x14ac:dyDescent="0.25">
      <c r="A359" s="72" t="str">
        <f>IF(CCTSAS[[#This Row],[Carrière]]="","",IF(ISNA(VLOOKUP(CCTSAS[[#This Row],[Carrière]],DROPDOWN[Dropdown9],1,FALSE))=TRUE,"Carrière: Utiliser la liste déroulante",""))</f>
        <v/>
      </c>
      <c r="B359" s="554" t="str">
        <f>IF(CCTSAS[[#This Row],[Matricule]]="","",MAX($B$7:B358)+1)</f>
        <v/>
      </c>
      <c r="C359" s="8"/>
      <c r="D359" s="8"/>
      <c r="E359" s="20"/>
      <c r="F359" s="63"/>
      <c r="G359" s="8"/>
      <c r="H359" s="8"/>
      <c r="I359" s="10"/>
      <c r="J359" s="10"/>
      <c r="K359" s="9"/>
      <c r="L359" s="9"/>
      <c r="M359" s="9"/>
      <c r="N35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59" s="660"/>
      <c r="P359" s="660"/>
      <c r="Q359" s="461"/>
      <c r="R359" s="381"/>
      <c r="S359" s="37"/>
      <c r="T359" s="37"/>
      <c r="U359" s="37"/>
      <c r="V359" s="37"/>
      <c r="W359" s="37"/>
      <c r="X359" s="37"/>
      <c r="Y35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59" s="37"/>
      <c r="AA359" s="662" t="str">
        <f>IF(COUNTA(CCTSAS[[#This Row],[Nom]:[heures annuelles
selon contrat(s)]])=0,"",CCTSAS[[#This Row],[Total global]]-ABS(CCTSAS[[#This Row],[Dont non opposable]]))</f>
        <v/>
      </c>
      <c r="AB359" s="8"/>
      <c r="AC359" s="63"/>
      <c r="AD359" s="428"/>
      <c r="AE359" s="428"/>
      <c r="AF359" s="428"/>
      <c r="AG359" s="43"/>
      <c r="AH359" s="183" t="str">
        <f>IF(COUNTA(CCTSAS[[#This Row],[Nom]:[heures annuelles
selon contrat(s)]])=0,"",REVEX!$E$9)</f>
        <v/>
      </c>
      <c r="AI359" s="72" t="str">
        <f>IF(CCTSAS[[#This Row],[Allocation fonctions]]="","",IF(ISNA(VLOOKUP(CCTSAS[[#This Row],[Allocation fonctions]],DROPDOWN[Dropdown82],1,FALSE))=TRUE,"Veuillez utiliser les allocations parmis la liste déroulante.",""))</f>
        <v/>
      </c>
    </row>
    <row r="360" spans="1:35" x14ac:dyDescent="0.25">
      <c r="A360" s="72" t="str">
        <f>IF(CCTSAS[[#This Row],[Carrière]]="","",IF(ISNA(VLOOKUP(CCTSAS[[#This Row],[Carrière]],DROPDOWN[Dropdown9],1,FALSE))=TRUE,"Carrière: Utiliser la liste déroulante",""))</f>
        <v/>
      </c>
      <c r="B360" s="554" t="str">
        <f>IF(CCTSAS[[#This Row],[Matricule]]="","",MAX($B$7:B359)+1)</f>
        <v/>
      </c>
      <c r="C360" s="8"/>
      <c r="D360" s="8"/>
      <c r="E360" s="20"/>
      <c r="F360" s="63"/>
      <c r="G360" s="8"/>
      <c r="H360" s="8"/>
      <c r="I360" s="10"/>
      <c r="J360" s="10"/>
      <c r="K360" s="9"/>
      <c r="L360" s="9"/>
      <c r="M360" s="9"/>
      <c r="N36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0" s="660"/>
      <c r="P360" s="660"/>
      <c r="Q360" s="461"/>
      <c r="R360" s="381"/>
      <c r="S360" s="37"/>
      <c r="T360" s="37"/>
      <c r="U360" s="37"/>
      <c r="V360" s="37"/>
      <c r="W360" s="37"/>
      <c r="X360" s="37"/>
      <c r="Y36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0" s="37"/>
      <c r="AA360" s="662" t="str">
        <f>IF(COUNTA(CCTSAS[[#This Row],[Nom]:[heures annuelles
selon contrat(s)]])=0,"",CCTSAS[[#This Row],[Total global]]-ABS(CCTSAS[[#This Row],[Dont non opposable]]))</f>
        <v/>
      </c>
      <c r="AB360" s="8"/>
      <c r="AC360" s="63"/>
      <c r="AD360" s="428"/>
      <c r="AE360" s="428"/>
      <c r="AF360" s="428"/>
      <c r="AG360" s="43"/>
      <c r="AH360" s="183" t="str">
        <f>IF(COUNTA(CCTSAS[[#This Row],[Nom]:[heures annuelles
selon contrat(s)]])=0,"",REVEX!$E$9)</f>
        <v/>
      </c>
      <c r="AI360" s="72" t="str">
        <f>IF(CCTSAS[[#This Row],[Allocation fonctions]]="","",IF(ISNA(VLOOKUP(CCTSAS[[#This Row],[Allocation fonctions]],DROPDOWN[Dropdown82],1,FALSE))=TRUE,"Veuillez utiliser les allocations parmis la liste déroulante.",""))</f>
        <v/>
      </c>
    </row>
    <row r="361" spans="1:35" x14ac:dyDescent="0.25">
      <c r="A361" s="72" t="str">
        <f>IF(CCTSAS[[#This Row],[Carrière]]="","",IF(ISNA(VLOOKUP(CCTSAS[[#This Row],[Carrière]],DROPDOWN[Dropdown9],1,FALSE))=TRUE,"Carrière: Utiliser la liste déroulante",""))</f>
        <v/>
      </c>
      <c r="B361" s="554" t="str">
        <f>IF(CCTSAS[[#This Row],[Matricule]]="","",MAX($B$7:B360)+1)</f>
        <v/>
      </c>
      <c r="C361" s="8"/>
      <c r="D361" s="8"/>
      <c r="E361" s="20"/>
      <c r="F361" s="63"/>
      <c r="G361" s="8"/>
      <c r="H361" s="8"/>
      <c r="I361" s="10"/>
      <c r="J361" s="10"/>
      <c r="K361" s="9"/>
      <c r="L361" s="9"/>
      <c r="M361" s="9"/>
      <c r="N36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1" s="660"/>
      <c r="P361" s="660"/>
      <c r="Q361" s="461"/>
      <c r="R361" s="381"/>
      <c r="S361" s="37"/>
      <c r="T361" s="37"/>
      <c r="U361" s="37"/>
      <c r="V361" s="37"/>
      <c r="W361" s="37"/>
      <c r="X361" s="37"/>
      <c r="Y36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1" s="37"/>
      <c r="AA361" s="662" t="str">
        <f>IF(COUNTA(CCTSAS[[#This Row],[Nom]:[heures annuelles
selon contrat(s)]])=0,"",CCTSAS[[#This Row],[Total global]]-ABS(CCTSAS[[#This Row],[Dont non opposable]]))</f>
        <v/>
      </c>
      <c r="AB361" s="8"/>
      <c r="AC361" s="63"/>
      <c r="AD361" s="428"/>
      <c r="AE361" s="428"/>
      <c r="AF361" s="428"/>
      <c r="AG361" s="43"/>
      <c r="AH361" s="183" t="str">
        <f>IF(COUNTA(CCTSAS[[#This Row],[Nom]:[heures annuelles
selon contrat(s)]])=0,"",REVEX!$E$9)</f>
        <v/>
      </c>
      <c r="AI361" s="72" t="str">
        <f>IF(CCTSAS[[#This Row],[Allocation fonctions]]="","",IF(ISNA(VLOOKUP(CCTSAS[[#This Row],[Allocation fonctions]],DROPDOWN[Dropdown82],1,FALSE))=TRUE,"Veuillez utiliser les allocations parmis la liste déroulante.",""))</f>
        <v/>
      </c>
    </row>
    <row r="362" spans="1:35" x14ac:dyDescent="0.25">
      <c r="A362" s="72" t="str">
        <f>IF(CCTSAS[[#This Row],[Carrière]]="","",IF(ISNA(VLOOKUP(CCTSAS[[#This Row],[Carrière]],DROPDOWN[Dropdown9],1,FALSE))=TRUE,"Carrière: Utiliser la liste déroulante",""))</f>
        <v/>
      </c>
      <c r="B362" s="554" t="str">
        <f>IF(CCTSAS[[#This Row],[Matricule]]="","",MAX($B$7:B361)+1)</f>
        <v/>
      </c>
      <c r="C362" s="8"/>
      <c r="D362" s="8"/>
      <c r="E362" s="20"/>
      <c r="F362" s="63"/>
      <c r="G362" s="8"/>
      <c r="H362" s="8"/>
      <c r="I362" s="10"/>
      <c r="J362" s="10"/>
      <c r="K362" s="9"/>
      <c r="L362" s="9"/>
      <c r="M362" s="9"/>
      <c r="N36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2" s="660"/>
      <c r="P362" s="660"/>
      <c r="Q362" s="461"/>
      <c r="R362" s="381"/>
      <c r="S362" s="37"/>
      <c r="T362" s="37"/>
      <c r="U362" s="37"/>
      <c r="V362" s="37"/>
      <c r="W362" s="37"/>
      <c r="X362" s="37"/>
      <c r="Y36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2" s="37"/>
      <c r="AA362" s="662" t="str">
        <f>IF(COUNTA(CCTSAS[[#This Row],[Nom]:[heures annuelles
selon contrat(s)]])=0,"",CCTSAS[[#This Row],[Total global]]-ABS(CCTSAS[[#This Row],[Dont non opposable]]))</f>
        <v/>
      </c>
      <c r="AB362" s="8"/>
      <c r="AC362" s="63"/>
      <c r="AD362" s="428"/>
      <c r="AE362" s="428"/>
      <c r="AF362" s="428"/>
      <c r="AG362" s="43"/>
      <c r="AH362" s="183" t="str">
        <f>IF(COUNTA(CCTSAS[[#This Row],[Nom]:[heures annuelles
selon contrat(s)]])=0,"",REVEX!$E$9)</f>
        <v/>
      </c>
      <c r="AI362" s="72" t="str">
        <f>IF(CCTSAS[[#This Row],[Allocation fonctions]]="","",IF(ISNA(VLOOKUP(CCTSAS[[#This Row],[Allocation fonctions]],DROPDOWN[Dropdown82],1,FALSE))=TRUE,"Veuillez utiliser les allocations parmis la liste déroulante.",""))</f>
        <v/>
      </c>
    </row>
    <row r="363" spans="1:35" x14ac:dyDescent="0.25">
      <c r="A363" s="72" t="str">
        <f>IF(CCTSAS[[#This Row],[Carrière]]="","",IF(ISNA(VLOOKUP(CCTSAS[[#This Row],[Carrière]],DROPDOWN[Dropdown9],1,FALSE))=TRUE,"Carrière: Utiliser la liste déroulante",""))</f>
        <v/>
      </c>
      <c r="B363" s="554" t="str">
        <f>IF(CCTSAS[[#This Row],[Matricule]]="","",MAX($B$7:B362)+1)</f>
        <v/>
      </c>
      <c r="C363" s="8"/>
      <c r="D363" s="8"/>
      <c r="E363" s="20"/>
      <c r="F363" s="63"/>
      <c r="G363" s="8"/>
      <c r="H363" s="8"/>
      <c r="I363" s="10"/>
      <c r="J363" s="10"/>
      <c r="K363" s="9"/>
      <c r="L363" s="9"/>
      <c r="M363" s="9"/>
      <c r="N36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3" s="660"/>
      <c r="P363" s="660"/>
      <c r="Q363" s="461"/>
      <c r="R363" s="381"/>
      <c r="S363" s="37"/>
      <c r="T363" s="37"/>
      <c r="U363" s="37"/>
      <c r="V363" s="37"/>
      <c r="W363" s="37"/>
      <c r="X363" s="37"/>
      <c r="Y36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3" s="37"/>
      <c r="AA363" s="662" t="str">
        <f>IF(COUNTA(CCTSAS[[#This Row],[Nom]:[heures annuelles
selon contrat(s)]])=0,"",CCTSAS[[#This Row],[Total global]]-ABS(CCTSAS[[#This Row],[Dont non opposable]]))</f>
        <v/>
      </c>
      <c r="AB363" s="8"/>
      <c r="AC363" s="63"/>
      <c r="AD363" s="428"/>
      <c r="AE363" s="428"/>
      <c r="AF363" s="428"/>
      <c r="AG363" s="43"/>
      <c r="AH363" s="183" t="str">
        <f>IF(COUNTA(CCTSAS[[#This Row],[Nom]:[heures annuelles
selon contrat(s)]])=0,"",REVEX!$E$9)</f>
        <v/>
      </c>
      <c r="AI363" s="72" t="str">
        <f>IF(CCTSAS[[#This Row],[Allocation fonctions]]="","",IF(ISNA(VLOOKUP(CCTSAS[[#This Row],[Allocation fonctions]],DROPDOWN[Dropdown82],1,FALSE))=TRUE,"Veuillez utiliser les allocations parmis la liste déroulante.",""))</f>
        <v/>
      </c>
    </row>
    <row r="364" spans="1:35" x14ac:dyDescent="0.25">
      <c r="A364" s="72" t="str">
        <f>IF(CCTSAS[[#This Row],[Carrière]]="","",IF(ISNA(VLOOKUP(CCTSAS[[#This Row],[Carrière]],DROPDOWN[Dropdown9],1,FALSE))=TRUE,"Carrière: Utiliser la liste déroulante",""))</f>
        <v/>
      </c>
      <c r="B364" s="554" t="str">
        <f>IF(CCTSAS[[#This Row],[Matricule]]="","",MAX($B$7:B363)+1)</f>
        <v/>
      </c>
      <c r="C364" s="8"/>
      <c r="D364" s="8"/>
      <c r="E364" s="20"/>
      <c r="F364" s="63"/>
      <c r="G364" s="8"/>
      <c r="H364" s="8"/>
      <c r="I364" s="10"/>
      <c r="J364" s="10"/>
      <c r="K364" s="9"/>
      <c r="L364" s="9"/>
      <c r="M364" s="9"/>
      <c r="N36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4" s="660"/>
      <c r="P364" s="660"/>
      <c r="Q364" s="461"/>
      <c r="R364" s="381"/>
      <c r="S364" s="37"/>
      <c r="T364" s="37"/>
      <c r="U364" s="37"/>
      <c r="V364" s="37"/>
      <c r="W364" s="37"/>
      <c r="X364" s="37"/>
      <c r="Y36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4" s="37"/>
      <c r="AA364" s="662" t="str">
        <f>IF(COUNTA(CCTSAS[[#This Row],[Nom]:[heures annuelles
selon contrat(s)]])=0,"",CCTSAS[[#This Row],[Total global]]-ABS(CCTSAS[[#This Row],[Dont non opposable]]))</f>
        <v/>
      </c>
      <c r="AB364" s="8"/>
      <c r="AC364" s="63"/>
      <c r="AD364" s="428"/>
      <c r="AE364" s="428"/>
      <c r="AF364" s="428"/>
      <c r="AG364" s="43"/>
      <c r="AH364" s="183" t="str">
        <f>IF(COUNTA(CCTSAS[[#This Row],[Nom]:[heures annuelles
selon contrat(s)]])=0,"",REVEX!$E$9)</f>
        <v/>
      </c>
      <c r="AI364" s="72" t="str">
        <f>IF(CCTSAS[[#This Row],[Allocation fonctions]]="","",IF(ISNA(VLOOKUP(CCTSAS[[#This Row],[Allocation fonctions]],DROPDOWN[Dropdown82],1,FALSE))=TRUE,"Veuillez utiliser les allocations parmis la liste déroulante.",""))</f>
        <v/>
      </c>
    </row>
    <row r="365" spans="1:35" x14ac:dyDescent="0.25">
      <c r="A365" s="72" t="str">
        <f>IF(CCTSAS[[#This Row],[Carrière]]="","",IF(ISNA(VLOOKUP(CCTSAS[[#This Row],[Carrière]],DROPDOWN[Dropdown9],1,FALSE))=TRUE,"Carrière: Utiliser la liste déroulante",""))</f>
        <v/>
      </c>
      <c r="B365" s="554" t="str">
        <f>IF(CCTSAS[[#This Row],[Matricule]]="","",MAX($B$7:B364)+1)</f>
        <v/>
      </c>
      <c r="C365" s="8"/>
      <c r="D365" s="8"/>
      <c r="E365" s="20"/>
      <c r="F365" s="63"/>
      <c r="G365" s="8"/>
      <c r="H365" s="8"/>
      <c r="I365" s="10"/>
      <c r="J365" s="10"/>
      <c r="K365" s="9"/>
      <c r="L365" s="9"/>
      <c r="M365" s="9"/>
      <c r="N36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5" s="660"/>
      <c r="P365" s="660"/>
      <c r="Q365" s="461"/>
      <c r="R365" s="381"/>
      <c r="S365" s="37"/>
      <c r="T365" s="37"/>
      <c r="U365" s="37"/>
      <c r="V365" s="37"/>
      <c r="W365" s="37"/>
      <c r="X365" s="37"/>
      <c r="Y36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5" s="37"/>
      <c r="AA365" s="662" t="str">
        <f>IF(COUNTA(CCTSAS[[#This Row],[Nom]:[heures annuelles
selon contrat(s)]])=0,"",CCTSAS[[#This Row],[Total global]]-ABS(CCTSAS[[#This Row],[Dont non opposable]]))</f>
        <v/>
      </c>
      <c r="AB365" s="8"/>
      <c r="AC365" s="63"/>
      <c r="AD365" s="428"/>
      <c r="AE365" s="428"/>
      <c r="AF365" s="428"/>
      <c r="AG365" s="43"/>
      <c r="AH365" s="183" t="str">
        <f>IF(COUNTA(CCTSAS[[#This Row],[Nom]:[heures annuelles
selon contrat(s)]])=0,"",REVEX!$E$9)</f>
        <v/>
      </c>
      <c r="AI365" s="72" t="str">
        <f>IF(CCTSAS[[#This Row],[Allocation fonctions]]="","",IF(ISNA(VLOOKUP(CCTSAS[[#This Row],[Allocation fonctions]],DROPDOWN[Dropdown82],1,FALSE))=TRUE,"Veuillez utiliser les allocations parmis la liste déroulante.",""))</f>
        <v/>
      </c>
    </row>
    <row r="366" spans="1:35" x14ac:dyDescent="0.25">
      <c r="A366" s="72" t="str">
        <f>IF(CCTSAS[[#This Row],[Carrière]]="","",IF(ISNA(VLOOKUP(CCTSAS[[#This Row],[Carrière]],DROPDOWN[Dropdown9],1,FALSE))=TRUE,"Carrière: Utiliser la liste déroulante",""))</f>
        <v/>
      </c>
      <c r="B366" s="554" t="str">
        <f>IF(CCTSAS[[#This Row],[Matricule]]="","",MAX($B$7:B365)+1)</f>
        <v/>
      </c>
      <c r="C366" s="8"/>
      <c r="D366" s="8"/>
      <c r="E366" s="20"/>
      <c r="F366" s="63"/>
      <c r="G366" s="8"/>
      <c r="H366" s="8"/>
      <c r="I366" s="10"/>
      <c r="J366" s="10"/>
      <c r="K366" s="9"/>
      <c r="L366" s="9"/>
      <c r="M366" s="9"/>
      <c r="N36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6" s="660"/>
      <c r="P366" s="660"/>
      <c r="Q366" s="461"/>
      <c r="R366" s="381"/>
      <c r="S366" s="37"/>
      <c r="T366" s="37"/>
      <c r="U366" s="37"/>
      <c r="V366" s="37"/>
      <c r="W366" s="37"/>
      <c r="X366" s="37"/>
      <c r="Y36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6" s="37"/>
      <c r="AA366" s="662" t="str">
        <f>IF(COUNTA(CCTSAS[[#This Row],[Nom]:[heures annuelles
selon contrat(s)]])=0,"",CCTSAS[[#This Row],[Total global]]-ABS(CCTSAS[[#This Row],[Dont non opposable]]))</f>
        <v/>
      </c>
      <c r="AB366" s="8"/>
      <c r="AC366" s="63"/>
      <c r="AD366" s="428"/>
      <c r="AE366" s="428"/>
      <c r="AF366" s="428"/>
      <c r="AG366" s="43"/>
      <c r="AH366" s="183" t="str">
        <f>IF(COUNTA(CCTSAS[[#This Row],[Nom]:[heures annuelles
selon contrat(s)]])=0,"",REVEX!$E$9)</f>
        <v/>
      </c>
      <c r="AI366" s="72" t="str">
        <f>IF(CCTSAS[[#This Row],[Allocation fonctions]]="","",IF(ISNA(VLOOKUP(CCTSAS[[#This Row],[Allocation fonctions]],DROPDOWN[Dropdown82],1,FALSE))=TRUE,"Veuillez utiliser les allocations parmis la liste déroulante.",""))</f>
        <v/>
      </c>
    </row>
    <row r="367" spans="1:35" x14ac:dyDescent="0.25">
      <c r="A367" s="72" t="str">
        <f>IF(CCTSAS[[#This Row],[Carrière]]="","",IF(ISNA(VLOOKUP(CCTSAS[[#This Row],[Carrière]],DROPDOWN[Dropdown9],1,FALSE))=TRUE,"Carrière: Utiliser la liste déroulante",""))</f>
        <v/>
      </c>
      <c r="B367" s="554" t="str">
        <f>IF(CCTSAS[[#This Row],[Matricule]]="","",MAX($B$7:B366)+1)</f>
        <v/>
      </c>
      <c r="C367" s="8"/>
      <c r="D367" s="8"/>
      <c r="E367" s="20"/>
      <c r="F367" s="63"/>
      <c r="G367" s="8"/>
      <c r="H367" s="8"/>
      <c r="I367" s="10"/>
      <c r="J367" s="10"/>
      <c r="K367" s="9"/>
      <c r="L367" s="9"/>
      <c r="M367" s="9"/>
      <c r="N36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7" s="660"/>
      <c r="P367" s="660"/>
      <c r="Q367" s="461"/>
      <c r="R367" s="381"/>
      <c r="S367" s="37"/>
      <c r="T367" s="37"/>
      <c r="U367" s="37"/>
      <c r="V367" s="37"/>
      <c r="W367" s="37"/>
      <c r="X367" s="37"/>
      <c r="Y36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7" s="37"/>
      <c r="AA367" s="662" t="str">
        <f>IF(COUNTA(CCTSAS[[#This Row],[Nom]:[heures annuelles
selon contrat(s)]])=0,"",CCTSAS[[#This Row],[Total global]]-ABS(CCTSAS[[#This Row],[Dont non opposable]]))</f>
        <v/>
      </c>
      <c r="AB367" s="8"/>
      <c r="AC367" s="63"/>
      <c r="AD367" s="428"/>
      <c r="AE367" s="428"/>
      <c r="AF367" s="428"/>
      <c r="AG367" s="43"/>
      <c r="AH367" s="183" t="str">
        <f>IF(COUNTA(CCTSAS[[#This Row],[Nom]:[heures annuelles
selon contrat(s)]])=0,"",REVEX!$E$9)</f>
        <v/>
      </c>
      <c r="AI367" s="72" t="str">
        <f>IF(CCTSAS[[#This Row],[Allocation fonctions]]="","",IF(ISNA(VLOOKUP(CCTSAS[[#This Row],[Allocation fonctions]],DROPDOWN[Dropdown82],1,FALSE))=TRUE,"Veuillez utiliser les allocations parmis la liste déroulante.",""))</f>
        <v/>
      </c>
    </row>
    <row r="368" spans="1:35" x14ac:dyDescent="0.25">
      <c r="A368" s="72" t="str">
        <f>IF(CCTSAS[[#This Row],[Carrière]]="","",IF(ISNA(VLOOKUP(CCTSAS[[#This Row],[Carrière]],DROPDOWN[Dropdown9],1,FALSE))=TRUE,"Carrière: Utiliser la liste déroulante",""))</f>
        <v/>
      </c>
      <c r="B368" s="554" t="str">
        <f>IF(CCTSAS[[#This Row],[Matricule]]="","",MAX($B$7:B367)+1)</f>
        <v/>
      </c>
      <c r="C368" s="8"/>
      <c r="D368" s="8"/>
      <c r="E368" s="20"/>
      <c r="F368" s="63"/>
      <c r="G368" s="8"/>
      <c r="H368" s="8"/>
      <c r="I368" s="10"/>
      <c r="J368" s="10"/>
      <c r="K368" s="9"/>
      <c r="L368" s="9"/>
      <c r="M368" s="9"/>
      <c r="N36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8" s="660"/>
      <c r="P368" s="660"/>
      <c r="Q368" s="461"/>
      <c r="R368" s="381"/>
      <c r="S368" s="37"/>
      <c r="T368" s="37"/>
      <c r="U368" s="37"/>
      <c r="V368" s="37"/>
      <c r="W368" s="37"/>
      <c r="X368" s="37"/>
      <c r="Y36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8" s="37"/>
      <c r="AA368" s="662" t="str">
        <f>IF(COUNTA(CCTSAS[[#This Row],[Nom]:[heures annuelles
selon contrat(s)]])=0,"",CCTSAS[[#This Row],[Total global]]-ABS(CCTSAS[[#This Row],[Dont non opposable]]))</f>
        <v/>
      </c>
      <c r="AB368" s="8"/>
      <c r="AC368" s="63"/>
      <c r="AD368" s="428"/>
      <c r="AE368" s="428"/>
      <c r="AF368" s="428"/>
      <c r="AG368" s="43"/>
      <c r="AH368" s="183" t="str">
        <f>IF(COUNTA(CCTSAS[[#This Row],[Nom]:[heures annuelles
selon contrat(s)]])=0,"",REVEX!$E$9)</f>
        <v/>
      </c>
      <c r="AI368" s="72" t="str">
        <f>IF(CCTSAS[[#This Row],[Allocation fonctions]]="","",IF(ISNA(VLOOKUP(CCTSAS[[#This Row],[Allocation fonctions]],DROPDOWN[Dropdown82],1,FALSE))=TRUE,"Veuillez utiliser les allocations parmis la liste déroulante.",""))</f>
        <v/>
      </c>
    </row>
    <row r="369" spans="1:35" x14ac:dyDescent="0.25">
      <c r="A369" s="72" t="str">
        <f>IF(CCTSAS[[#This Row],[Carrière]]="","",IF(ISNA(VLOOKUP(CCTSAS[[#This Row],[Carrière]],DROPDOWN[Dropdown9],1,FALSE))=TRUE,"Carrière: Utiliser la liste déroulante",""))</f>
        <v/>
      </c>
      <c r="B369" s="554" t="str">
        <f>IF(CCTSAS[[#This Row],[Matricule]]="","",MAX($B$7:B368)+1)</f>
        <v/>
      </c>
      <c r="C369" s="8"/>
      <c r="D369" s="8"/>
      <c r="E369" s="20"/>
      <c r="F369" s="63"/>
      <c r="G369" s="8"/>
      <c r="H369" s="8"/>
      <c r="I369" s="10"/>
      <c r="J369" s="10"/>
      <c r="K369" s="9"/>
      <c r="L369" s="9"/>
      <c r="M369" s="9"/>
      <c r="N36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69" s="660"/>
      <c r="P369" s="660"/>
      <c r="Q369" s="461"/>
      <c r="R369" s="381"/>
      <c r="S369" s="37"/>
      <c r="T369" s="37"/>
      <c r="U369" s="37"/>
      <c r="V369" s="37"/>
      <c r="W369" s="37"/>
      <c r="X369" s="37"/>
      <c r="Y36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69" s="37"/>
      <c r="AA369" s="662" t="str">
        <f>IF(COUNTA(CCTSAS[[#This Row],[Nom]:[heures annuelles
selon contrat(s)]])=0,"",CCTSAS[[#This Row],[Total global]]-ABS(CCTSAS[[#This Row],[Dont non opposable]]))</f>
        <v/>
      </c>
      <c r="AB369" s="8"/>
      <c r="AC369" s="63"/>
      <c r="AD369" s="428"/>
      <c r="AE369" s="428"/>
      <c r="AF369" s="428"/>
      <c r="AG369" s="43"/>
      <c r="AH369" s="183" t="str">
        <f>IF(COUNTA(CCTSAS[[#This Row],[Nom]:[heures annuelles
selon contrat(s)]])=0,"",REVEX!$E$9)</f>
        <v/>
      </c>
      <c r="AI369" s="72" t="str">
        <f>IF(CCTSAS[[#This Row],[Allocation fonctions]]="","",IF(ISNA(VLOOKUP(CCTSAS[[#This Row],[Allocation fonctions]],DROPDOWN[Dropdown82],1,FALSE))=TRUE,"Veuillez utiliser les allocations parmis la liste déroulante.",""))</f>
        <v/>
      </c>
    </row>
    <row r="370" spans="1:35" x14ac:dyDescent="0.25">
      <c r="A370" s="72" t="str">
        <f>IF(CCTSAS[[#This Row],[Carrière]]="","",IF(ISNA(VLOOKUP(CCTSAS[[#This Row],[Carrière]],DROPDOWN[Dropdown9],1,FALSE))=TRUE,"Carrière: Utiliser la liste déroulante",""))</f>
        <v/>
      </c>
      <c r="B370" s="554" t="str">
        <f>IF(CCTSAS[[#This Row],[Matricule]]="","",MAX($B$7:B369)+1)</f>
        <v/>
      </c>
      <c r="C370" s="8"/>
      <c r="D370" s="8"/>
      <c r="E370" s="20"/>
      <c r="F370" s="63"/>
      <c r="G370" s="8"/>
      <c r="H370" s="8"/>
      <c r="I370" s="10"/>
      <c r="J370" s="10"/>
      <c r="K370" s="9"/>
      <c r="L370" s="9"/>
      <c r="M370" s="9"/>
      <c r="N37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0" s="660"/>
      <c r="P370" s="660"/>
      <c r="Q370" s="461"/>
      <c r="R370" s="381"/>
      <c r="S370" s="37"/>
      <c r="T370" s="37"/>
      <c r="U370" s="37"/>
      <c r="V370" s="37"/>
      <c r="W370" s="37"/>
      <c r="X370" s="37"/>
      <c r="Y37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0" s="37"/>
      <c r="AA370" s="662" t="str">
        <f>IF(COUNTA(CCTSAS[[#This Row],[Nom]:[heures annuelles
selon contrat(s)]])=0,"",CCTSAS[[#This Row],[Total global]]-ABS(CCTSAS[[#This Row],[Dont non opposable]]))</f>
        <v/>
      </c>
      <c r="AB370" s="8"/>
      <c r="AC370" s="63"/>
      <c r="AD370" s="428"/>
      <c r="AE370" s="428"/>
      <c r="AF370" s="428"/>
      <c r="AG370" s="43"/>
      <c r="AH370" s="183" t="str">
        <f>IF(COUNTA(CCTSAS[[#This Row],[Nom]:[heures annuelles
selon contrat(s)]])=0,"",REVEX!$E$9)</f>
        <v/>
      </c>
      <c r="AI370" s="72" t="str">
        <f>IF(CCTSAS[[#This Row],[Allocation fonctions]]="","",IF(ISNA(VLOOKUP(CCTSAS[[#This Row],[Allocation fonctions]],DROPDOWN[Dropdown82],1,FALSE))=TRUE,"Veuillez utiliser les allocations parmis la liste déroulante.",""))</f>
        <v/>
      </c>
    </row>
    <row r="371" spans="1:35" x14ac:dyDescent="0.25">
      <c r="A371" s="72" t="str">
        <f>IF(CCTSAS[[#This Row],[Carrière]]="","",IF(ISNA(VLOOKUP(CCTSAS[[#This Row],[Carrière]],DROPDOWN[Dropdown9],1,FALSE))=TRUE,"Carrière: Utiliser la liste déroulante",""))</f>
        <v/>
      </c>
      <c r="B371" s="554" t="str">
        <f>IF(CCTSAS[[#This Row],[Matricule]]="","",MAX($B$7:B370)+1)</f>
        <v/>
      </c>
      <c r="C371" s="8"/>
      <c r="D371" s="8"/>
      <c r="E371" s="20"/>
      <c r="F371" s="63"/>
      <c r="G371" s="8"/>
      <c r="H371" s="8"/>
      <c r="I371" s="10"/>
      <c r="J371" s="10"/>
      <c r="K371" s="9"/>
      <c r="L371" s="9"/>
      <c r="M371" s="9"/>
      <c r="N37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1" s="660"/>
      <c r="P371" s="660"/>
      <c r="Q371" s="461"/>
      <c r="R371" s="381"/>
      <c r="S371" s="37"/>
      <c r="T371" s="37"/>
      <c r="U371" s="37"/>
      <c r="V371" s="37"/>
      <c r="W371" s="37"/>
      <c r="X371" s="37"/>
      <c r="Y37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1" s="37"/>
      <c r="AA371" s="662" t="str">
        <f>IF(COUNTA(CCTSAS[[#This Row],[Nom]:[heures annuelles
selon contrat(s)]])=0,"",CCTSAS[[#This Row],[Total global]]-ABS(CCTSAS[[#This Row],[Dont non opposable]]))</f>
        <v/>
      </c>
      <c r="AB371" s="8"/>
      <c r="AC371" s="63"/>
      <c r="AD371" s="428"/>
      <c r="AE371" s="428"/>
      <c r="AF371" s="428"/>
      <c r="AG371" s="43"/>
      <c r="AH371" s="183" t="str">
        <f>IF(COUNTA(CCTSAS[[#This Row],[Nom]:[heures annuelles
selon contrat(s)]])=0,"",REVEX!$E$9)</f>
        <v/>
      </c>
      <c r="AI371" s="72" t="str">
        <f>IF(CCTSAS[[#This Row],[Allocation fonctions]]="","",IF(ISNA(VLOOKUP(CCTSAS[[#This Row],[Allocation fonctions]],DROPDOWN[Dropdown82],1,FALSE))=TRUE,"Veuillez utiliser les allocations parmis la liste déroulante.",""))</f>
        <v/>
      </c>
    </row>
    <row r="372" spans="1:35" x14ac:dyDescent="0.25">
      <c r="A372" s="72" t="str">
        <f>IF(CCTSAS[[#This Row],[Carrière]]="","",IF(ISNA(VLOOKUP(CCTSAS[[#This Row],[Carrière]],DROPDOWN[Dropdown9],1,FALSE))=TRUE,"Carrière: Utiliser la liste déroulante",""))</f>
        <v/>
      </c>
      <c r="B372" s="554" t="str">
        <f>IF(CCTSAS[[#This Row],[Matricule]]="","",MAX($B$7:B371)+1)</f>
        <v/>
      </c>
      <c r="C372" s="8"/>
      <c r="D372" s="8"/>
      <c r="E372" s="20"/>
      <c r="F372" s="63"/>
      <c r="G372" s="8"/>
      <c r="H372" s="8"/>
      <c r="I372" s="10"/>
      <c r="J372" s="10"/>
      <c r="K372" s="9"/>
      <c r="L372" s="9"/>
      <c r="M372" s="9"/>
      <c r="N37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2" s="660"/>
      <c r="P372" s="660"/>
      <c r="Q372" s="461"/>
      <c r="R372" s="381"/>
      <c r="S372" s="37"/>
      <c r="T372" s="37"/>
      <c r="U372" s="37"/>
      <c r="V372" s="37"/>
      <c r="W372" s="37"/>
      <c r="X372" s="37"/>
      <c r="Y37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2" s="37"/>
      <c r="AA372" s="662" t="str">
        <f>IF(COUNTA(CCTSAS[[#This Row],[Nom]:[heures annuelles
selon contrat(s)]])=0,"",CCTSAS[[#This Row],[Total global]]-ABS(CCTSAS[[#This Row],[Dont non opposable]]))</f>
        <v/>
      </c>
      <c r="AB372" s="8"/>
      <c r="AC372" s="63"/>
      <c r="AD372" s="428"/>
      <c r="AE372" s="428"/>
      <c r="AF372" s="428"/>
      <c r="AG372" s="43"/>
      <c r="AH372" s="183" t="str">
        <f>IF(COUNTA(CCTSAS[[#This Row],[Nom]:[heures annuelles
selon contrat(s)]])=0,"",REVEX!$E$9)</f>
        <v/>
      </c>
      <c r="AI372" s="72" t="str">
        <f>IF(CCTSAS[[#This Row],[Allocation fonctions]]="","",IF(ISNA(VLOOKUP(CCTSAS[[#This Row],[Allocation fonctions]],DROPDOWN[Dropdown82],1,FALSE))=TRUE,"Veuillez utiliser les allocations parmis la liste déroulante.",""))</f>
        <v/>
      </c>
    </row>
    <row r="373" spans="1:35" x14ac:dyDescent="0.25">
      <c r="A373" s="72" t="str">
        <f>IF(CCTSAS[[#This Row],[Carrière]]="","",IF(ISNA(VLOOKUP(CCTSAS[[#This Row],[Carrière]],DROPDOWN[Dropdown9],1,FALSE))=TRUE,"Carrière: Utiliser la liste déroulante",""))</f>
        <v/>
      </c>
      <c r="B373" s="554" t="str">
        <f>IF(CCTSAS[[#This Row],[Matricule]]="","",MAX($B$7:B372)+1)</f>
        <v/>
      </c>
      <c r="C373" s="8"/>
      <c r="D373" s="8"/>
      <c r="E373" s="20"/>
      <c r="F373" s="63"/>
      <c r="G373" s="8"/>
      <c r="H373" s="8"/>
      <c r="I373" s="10"/>
      <c r="J373" s="10"/>
      <c r="K373" s="9"/>
      <c r="L373" s="9"/>
      <c r="M373" s="9"/>
      <c r="N37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3" s="660"/>
      <c r="P373" s="660"/>
      <c r="Q373" s="461"/>
      <c r="R373" s="381"/>
      <c r="S373" s="37"/>
      <c r="T373" s="37"/>
      <c r="U373" s="37"/>
      <c r="V373" s="37"/>
      <c r="W373" s="37"/>
      <c r="X373" s="37"/>
      <c r="Y37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3" s="37"/>
      <c r="AA373" s="662" t="str">
        <f>IF(COUNTA(CCTSAS[[#This Row],[Nom]:[heures annuelles
selon contrat(s)]])=0,"",CCTSAS[[#This Row],[Total global]]-ABS(CCTSAS[[#This Row],[Dont non opposable]]))</f>
        <v/>
      </c>
      <c r="AB373" s="8"/>
      <c r="AC373" s="63"/>
      <c r="AD373" s="428"/>
      <c r="AE373" s="428"/>
      <c r="AF373" s="428"/>
      <c r="AG373" s="43"/>
      <c r="AH373" s="183" t="str">
        <f>IF(COUNTA(CCTSAS[[#This Row],[Nom]:[heures annuelles
selon contrat(s)]])=0,"",REVEX!$E$9)</f>
        <v/>
      </c>
      <c r="AI373" s="72" t="str">
        <f>IF(CCTSAS[[#This Row],[Allocation fonctions]]="","",IF(ISNA(VLOOKUP(CCTSAS[[#This Row],[Allocation fonctions]],DROPDOWN[Dropdown82],1,FALSE))=TRUE,"Veuillez utiliser les allocations parmis la liste déroulante.",""))</f>
        <v/>
      </c>
    </row>
    <row r="374" spans="1:35" x14ac:dyDescent="0.25">
      <c r="A374" s="72" t="str">
        <f>IF(CCTSAS[[#This Row],[Carrière]]="","",IF(ISNA(VLOOKUP(CCTSAS[[#This Row],[Carrière]],DROPDOWN[Dropdown9],1,FALSE))=TRUE,"Carrière: Utiliser la liste déroulante",""))</f>
        <v/>
      </c>
      <c r="B374" s="554" t="str">
        <f>IF(CCTSAS[[#This Row],[Matricule]]="","",MAX($B$7:B373)+1)</f>
        <v/>
      </c>
      <c r="C374" s="8"/>
      <c r="D374" s="8"/>
      <c r="E374" s="20"/>
      <c r="F374" s="63"/>
      <c r="G374" s="8"/>
      <c r="H374" s="8"/>
      <c r="I374" s="10"/>
      <c r="J374" s="10"/>
      <c r="K374" s="9"/>
      <c r="L374" s="9"/>
      <c r="M374" s="9"/>
      <c r="N37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4" s="660"/>
      <c r="P374" s="660"/>
      <c r="Q374" s="461"/>
      <c r="R374" s="381"/>
      <c r="S374" s="37"/>
      <c r="T374" s="37"/>
      <c r="U374" s="37"/>
      <c r="V374" s="37"/>
      <c r="W374" s="37"/>
      <c r="X374" s="37"/>
      <c r="Y37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4" s="37"/>
      <c r="AA374" s="662" t="str">
        <f>IF(COUNTA(CCTSAS[[#This Row],[Nom]:[heures annuelles
selon contrat(s)]])=0,"",CCTSAS[[#This Row],[Total global]]-ABS(CCTSAS[[#This Row],[Dont non opposable]]))</f>
        <v/>
      </c>
      <c r="AB374" s="8"/>
      <c r="AC374" s="63"/>
      <c r="AD374" s="428"/>
      <c r="AE374" s="428"/>
      <c r="AF374" s="428"/>
      <c r="AG374" s="43"/>
      <c r="AH374" s="183" t="str">
        <f>IF(COUNTA(CCTSAS[[#This Row],[Nom]:[heures annuelles
selon contrat(s)]])=0,"",REVEX!$E$9)</f>
        <v/>
      </c>
      <c r="AI374" s="72" t="str">
        <f>IF(CCTSAS[[#This Row],[Allocation fonctions]]="","",IF(ISNA(VLOOKUP(CCTSAS[[#This Row],[Allocation fonctions]],DROPDOWN[Dropdown82],1,FALSE))=TRUE,"Veuillez utiliser les allocations parmis la liste déroulante.",""))</f>
        <v/>
      </c>
    </row>
    <row r="375" spans="1:35" x14ac:dyDescent="0.25">
      <c r="A375" s="72" t="str">
        <f>IF(CCTSAS[[#This Row],[Carrière]]="","",IF(ISNA(VLOOKUP(CCTSAS[[#This Row],[Carrière]],DROPDOWN[Dropdown9],1,FALSE))=TRUE,"Carrière: Utiliser la liste déroulante",""))</f>
        <v/>
      </c>
      <c r="B375" s="554" t="str">
        <f>IF(CCTSAS[[#This Row],[Matricule]]="","",MAX($B$7:B374)+1)</f>
        <v/>
      </c>
      <c r="C375" s="8"/>
      <c r="D375" s="8"/>
      <c r="E375" s="20"/>
      <c r="F375" s="63"/>
      <c r="G375" s="8"/>
      <c r="H375" s="8"/>
      <c r="I375" s="10"/>
      <c r="J375" s="10"/>
      <c r="K375" s="9"/>
      <c r="L375" s="9"/>
      <c r="M375" s="9"/>
      <c r="N37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5" s="660"/>
      <c r="P375" s="660"/>
      <c r="Q375" s="461"/>
      <c r="R375" s="381"/>
      <c r="S375" s="37"/>
      <c r="T375" s="37"/>
      <c r="U375" s="37"/>
      <c r="V375" s="37"/>
      <c r="W375" s="37"/>
      <c r="X375" s="37"/>
      <c r="Y37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5" s="37"/>
      <c r="AA375" s="662" t="str">
        <f>IF(COUNTA(CCTSAS[[#This Row],[Nom]:[heures annuelles
selon contrat(s)]])=0,"",CCTSAS[[#This Row],[Total global]]-ABS(CCTSAS[[#This Row],[Dont non opposable]]))</f>
        <v/>
      </c>
      <c r="AB375" s="8"/>
      <c r="AC375" s="63"/>
      <c r="AD375" s="428"/>
      <c r="AE375" s="428"/>
      <c r="AF375" s="428"/>
      <c r="AG375" s="43"/>
      <c r="AH375" s="183" t="str">
        <f>IF(COUNTA(CCTSAS[[#This Row],[Nom]:[heures annuelles
selon contrat(s)]])=0,"",REVEX!$E$9)</f>
        <v/>
      </c>
      <c r="AI375" s="72" t="str">
        <f>IF(CCTSAS[[#This Row],[Allocation fonctions]]="","",IF(ISNA(VLOOKUP(CCTSAS[[#This Row],[Allocation fonctions]],DROPDOWN[Dropdown82],1,FALSE))=TRUE,"Veuillez utiliser les allocations parmis la liste déroulante.",""))</f>
        <v/>
      </c>
    </row>
    <row r="376" spans="1:35" x14ac:dyDescent="0.25">
      <c r="A376" s="72" t="str">
        <f>IF(CCTSAS[[#This Row],[Carrière]]="","",IF(ISNA(VLOOKUP(CCTSAS[[#This Row],[Carrière]],DROPDOWN[Dropdown9],1,FALSE))=TRUE,"Carrière: Utiliser la liste déroulante",""))</f>
        <v/>
      </c>
      <c r="B376" s="554" t="str">
        <f>IF(CCTSAS[[#This Row],[Matricule]]="","",MAX($B$7:B375)+1)</f>
        <v/>
      </c>
      <c r="C376" s="8"/>
      <c r="D376" s="8"/>
      <c r="E376" s="20"/>
      <c r="F376" s="63"/>
      <c r="G376" s="8"/>
      <c r="H376" s="8"/>
      <c r="I376" s="10"/>
      <c r="J376" s="10"/>
      <c r="K376" s="9"/>
      <c r="L376" s="9"/>
      <c r="M376" s="9"/>
      <c r="N37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6" s="660"/>
      <c r="P376" s="660"/>
      <c r="Q376" s="461"/>
      <c r="R376" s="381"/>
      <c r="S376" s="37"/>
      <c r="T376" s="37"/>
      <c r="U376" s="37"/>
      <c r="V376" s="37"/>
      <c r="W376" s="37"/>
      <c r="X376" s="37"/>
      <c r="Y37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6" s="37"/>
      <c r="AA376" s="662" t="str">
        <f>IF(COUNTA(CCTSAS[[#This Row],[Nom]:[heures annuelles
selon contrat(s)]])=0,"",CCTSAS[[#This Row],[Total global]]-ABS(CCTSAS[[#This Row],[Dont non opposable]]))</f>
        <v/>
      </c>
      <c r="AB376" s="8"/>
      <c r="AC376" s="63"/>
      <c r="AD376" s="428"/>
      <c r="AE376" s="428"/>
      <c r="AF376" s="428"/>
      <c r="AG376" s="43"/>
      <c r="AH376" s="183" t="str">
        <f>IF(COUNTA(CCTSAS[[#This Row],[Nom]:[heures annuelles
selon contrat(s)]])=0,"",REVEX!$E$9)</f>
        <v/>
      </c>
      <c r="AI376" s="72" t="str">
        <f>IF(CCTSAS[[#This Row],[Allocation fonctions]]="","",IF(ISNA(VLOOKUP(CCTSAS[[#This Row],[Allocation fonctions]],DROPDOWN[Dropdown82],1,FALSE))=TRUE,"Veuillez utiliser les allocations parmis la liste déroulante.",""))</f>
        <v/>
      </c>
    </row>
    <row r="377" spans="1:35" x14ac:dyDescent="0.25">
      <c r="A377" s="72" t="str">
        <f>IF(CCTSAS[[#This Row],[Carrière]]="","",IF(ISNA(VLOOKUP(CCTSAS[[#This Row],[Carrière]],DROPDOWN[Dropdown9],1,FALSE))=TRUE,"Carrière: Utiliser la liste déroulante",""))</f>
        <v/>
      </c>
      <c r="B377" s="554" t="str">
        <f>IF(CCTSAS[[#This Row],[Matricule]]="","",MAX($B$7:B376)+1)</f>
        <v/>
      </c>
      <c r="C377" s="8"/>
      <c r="D377" s="8"/>
      <c r="E377" s="20"/>
      <c r="F377" s="63"/>
      <c r="G377" s="8"/>
      <c r="H377" s="8"/>
      <c r="I377" s="10"/>
      <c r="J377" s="10"/>
      <c r="K377" s="9"/>
      <c r="L377" s="9"/>
      <c r="M377" s="9"/>
      <c r="N37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7" s="660"/>
      <c r="P377" s="660"/>
      <c r="Q377" s="461"/>
      <c r="R377" s="381"/>
      <c r="S377" s="37"/>
      <c r="T377" s="37"/>
      <c r="U377" s="37"/>
      <c r="V377" s="37"/>
      <c r="W377" s="37"/>
      <c r="X377" s="37"/>
      <c r="Y37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7" s="37"/>
      <c r="AA377" s="662" t="str">
        <f>IF(COUNTA(CCTSAS[[#This Row],[Nom]:[heures annuelles
selon contrat(s)]])=0,"",CCTSAS[[#This Row],[Total global]]-ABS(CCTSAS[[#This Row],[Dont non opposable]]))</f>
        <v/>
      </c>
      <c r="AB377" s="8"/>
      <c r="AC377" s="63"/>
      <c r="AD377" s="428"/>
      <c r="AE377" s="428"/>
      <c r="AF377" s="428"/>
      <c r="AG377" s="43"/>
      <c r="AH377" s="183" t="str">
        <f>IF(COUNTA(CCTSAS[[#This Row],[Nom]:[heures annuelles
selon contrat(s)]])=0,"",REVEX!$E$9)</f>
        <v/>
      </c>
      <c r="AI377" s="72" t="str">
        <f>IF(CCTSAS[[#This Row],[Allocation fonctions]]="","",IF(ISNA(VLOOKUP(CCTSAS[[#This Row],[Allocation fonctions]],DROPDOWN[Dropdown82],1,FALSE))=TRUE,"Veuillez utiliser les allocations parmis la liste déroulante.",""))</f>
        <v/>
      </c>
    </row>
    <row r="378" spans="1:35" x14ac:dyDescent="0.25">
      <c r="A378" s="72" t="str">
        <f>IF(CCTSAS[[#This Row],[Carrière]]="","",IF(ISNA(VLOOKUP(CCTSAS[[#This Row],[Carrière]],DROPDOWN[Dropdown9],1,FALSE))=TRUE,"Carrière: Utiliser la liste déroulante",""))</f>
        <v/>
      </c>
      <c r="B378" s="554" t="str">
        <f>IF(CCTSAS[[#This Row],[Matricule]]="","",MAX($B$7:B377)+1)</f>
        <v/>
      </c>
      <c r="C378" s="8"/>
      <c r="D378" s="8"/>
      <c r="E378" s="20"/>
      <c r="F378" s="63"/>
      <c r="G378" s="8"/>
      <c r="H378" s="8"/>
      <c r="I378" s="10"/>
      <c r="J378" s="10"/>
      <c r="K378" s="9"/>
      <c r="L378" s="9"/>
      <c r="M378" s="9"/>
      <c r="N37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8" s="660"/>
      <c r="P378" s="660"/>
      <c r="Q378" s="461"/>
      <c r="R378" s="381"/>
      <c r="S378" s="37"/>
      <c r="T378" s="37"/>
      <c r="U378" s="37"/>
      <c r="V378" s="37"/>
      <c r="W378" s="37"/>
      <c r="X378" s="37"/>
      <c r="Y37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8" s="37"/>
      <c r="AA378" s="662" t="str">
        <f>IF(COUNTA(CCTSAS[[#This Row],[Nom]:[heures annuelles
selon contrat(s)]])=0,"",CCTSAS[[#This Row],[Total global]]-ABS(CCTSAS[[#This Row],[Dont non opposable]]))</f>
        <v/>
      </c>
      <c r="AB378" s="8"/>
      <c r="AC378" s="63"/>
      <c r="AD378" s="428"/>
      <c r="AE378" s="428"/>
      <c r="AF378" s="428"/>
      <c r="AG378" s="43"/>
      <c r="AH378" s="183" t="str">
        <f>IF(COUNTA(CCTSAS[[#This Row],[Nom]:[heures annuelles
selon contrat(s)]])=0,"",REVEX!$E$9)</f>
        <v/>
      </c>
      <c r="AI378" s="72" t="str">
        <f>IF(CCTSAS[[#This Row],[Allocation fonctions]]="","",IF(ISNA(VLOOKUP(CCTSAS[[#This Row],[Allocation fonctions]],DROPDOWN[Dropdown82],1,FALSE))=TRUE,"Veuillez utiliser les allocations parmis la liste déroulante.",""))</f>
        <v/>
      </c>
    </row>
    <row r="379" spans="1:35" x14ac:dyDescent="0.25">
      <c r="A379" s="72" t="str">
        <f>IF(CCTSAS[[#This Row],[Carrière]]="","",IF(ISNA(VLOOKUP(CCTSAS[[#This Row],[Carrière]],DROPDOWN[Dropdown9],1,FALSE))=TRUE,"Carrière: Utiliser la liste déroulante",""))</f>
        <v/>
      </c>
      <c r="B379" s="554" t="str">
        <f>IF(CCTSAS[[#This Row],[Matricule]]="","",MAX($B$7:B378)+1)</f>
        <v/>
      </c>
      <c r="C379" s="8"/>
      <c r="D379" s="8"/>
      <c r="E379" s="20"/>
      <c r="F379" s="63"/>
      <c r="G379" s="8"/>
      <c r="H379" s="8"/>
      <c r="I379" s="10"/>
      <c r="J379" s="10"/>
      <c r="K379" s="9"/>
      <c r="L379" s="9"/>
      <c r="M379" s="9"/>
      <c r="N37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79" s="660"/>
      <c r="P379" s="660"/>
      <c r="Q379" s="461"/>
      <c r="R379" s="381"/>
      <c r="S379" s="37"/>
      <c r="T379" s="37"/>
      <c r="U379" s="37"/>
      <c r="V379" s="37"/>
      <c r="W379" s="37"/>
      <c r="X379" s="37"/>
      <c r="Y37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79" s="37"/>
      <c r="AA379" s="662" t="str">
        <f>IF(COUNTA(CCTSAS[[#This Row],[Nom]:[heures annuelles
selon contrat(s)]])=0,"",CCTSAS[[#This Row],[Total global]]-ABS(CCTSAS[[#This Row],[Dont non opposable]]))</f>
        <v/>
      </c>
      <c r="AB379" s="8"/>
      <c r="AC379" s="63"/>
      <c r="AD379" s="428"/>
      <c r="AE379" s="428"/>
      <c r="AF379" s="428"/>
      <c r="AG379" s="43"/>
      <c r="AH379" s="183" t="str">
        <f>IF(COUNTA(CCTSAS[[#This Row],[Nom]:[heures annuelles
selon contrat(s)]])=0,"",REVEX!$E$9)</f>
        <v/>
      </c>
      <c r="AI379" s="72" t="str">
        <f>IF(CCTSAS[[#This Row],[Allocation fonctions]]="","",IF(ISNA(VLOOKUP(CCTSAS[[#This Row],[Allocation fonctions]],DROPDOWN[Dropdown82],1,FALSE))=TRUE,"Veuillez utiliser les allocations parmis la liste déroulante.",""))</f>
        <v/>
      </c>
    </row>
    <row r="380" spans="1:35" x14ac:dyDescent="0.25">
      <c r="A380" s="72" t="str">
        <f>IF(CCTSAS[[#This Row],[Carrière]]="","",IF(ISNA(VLOOKUP(CCTSAS[[#This Row],[Carrière]],DROPDOWN[Dropdown9],1,FALSE))=TRUE,"Carrière: Utiliser la liste déroulante",""))</f>
        <v/>
      </c>
      <c r="B380" s="554" t="str">
        <f>IF(CCTSAS[[#This Row],[Matricule]]="","",MAX($B$7:B379)+1)</f>
        <v/>
      </c>
      <c r="C380" s="8"/>
      <c r="D380" s="8"/>
      <c r="E380" s="20"/>
      <c r="F380" s="63"/>
      <c r="G380" s="8"/>
      <c r="H380" s="8"/>
      <c r="I380" s="10"/>
      <c r="J380" s="10"/>
      <c r="K380" s="9"/>
      <c r="L380" s="9"/>
      <c r="M380" s="9"/>
      <c r="N38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0" s="660"/>
      <c r="P380" s="660"/>
      <c r="Q380" s="461"/>
      <c r="R380" s="381"/>
      <c r="S380" s="37"/>
      <c r="T380" s="37"/>
      <c r="U380" s="37"/>
      <c r="V380" s="37"/>
      <c r="W380" s="37"/>
      <c r="X380" s="37"/>
      <c r="Y38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0" s="37"/>
      <c r="AA380" s="662" t="str">
        <f>IF(COUNTA(CCTSAS[[#This Row],[Nom]:[heures annuelles
selon contrat(s)]])=0,"",CCTSAS[[#This Row],[Total global]]-ABS(CCTSAS[[#This Row],[Dont non opposable]]))</f>
        <v/>
      </c>
      <c r="AB380" s="8"/>
      <c r="AC380" s="63"/>
      <c r="AD380" s="428"/>
      <c r="AE380" s="428"/>
      <c r="AF380" s="428"/>
      <c r="AG380" s="43"/>
      <c r="AH380" s="183" t="str">
        <f>IF(COUNTA(CCTSAS[[#This Row],[Nom]:[heures annuelles
selon contrat(s)]])=0,"",REVEX!$E$9)</f>
        <v/>
      </c>
      <c r="AI380" s="72" t="str">
        <f>IF(CCTSAS[[#This Row],[Allocation fonctions]]="","",IF(ISNA(VLOOKUP(CCTSAS[[#This Row],[Allocation fonctions]],DROPDOWN[Dropdown82],1,FALSE))=TRUE,"Veuillez utiliser les allocations parmis la liste déroulante.",""))</f>
        <v/>
      </c>
    </row>
    <row r="381" spans="1:35" x14ac:dyDescent="0.25">
      <c r="A381" s="72" t="str">
        <f>IF(CCTSAS[[#This Row],[Carrière]]="","",IF(ISNA(VLOOKUP(CCTSAS[[#This Row],[Carrière]],DROPDOWN[Dropdown9],1,FALSE))=TRUE,"Carrière: Utiliser la liste déroulante",""))</f>
        <v/>
      </c>
      <c r="B381" s="554" t="str">
        <f>IF(CCTSAS[[#This Row],[Matricule]]="","",MAX($B$7:B380)+1)</f>
        <v/>
      </c>
      <c r="C381" s="8"/>
      <c r="D381" s="8"/>
      <c r="E381" s="20"/>
      <c r="F381" s="63"/>
      <c r="G381" s="8"/>
      <c r="H381" s="8"/>
      <c r="I381" s="10"/>
      <c r="J381" s="10"/>
      <c r="K381" s="9"/>
      <c r="L381" s="9"/>
      <c r="M381" s="9"/>
      <c r="N38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1" s="660"/>
      <c r="P381" s="660"/>
      <c r="Q381" s="461"/>
      <c r="R381" s="381"/>
      <c r="S381" s="37"/>
      <c r="T381" s="37"/>
      <c r="U381" s="37"/>
      <c r="V381" s="37"/>
      <c r="W381" s="37"/>
      <c r="X381" s="37"/>
      <c r="Y38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1" s="37"/>
      <c r="AA381" s="662" t="str">
        <f>IF(COUNTA(CCTSAS[[#This Row],[Nom]:[heures annuelles
selon contrat(s)]])=0,"",CCTSAS[[#This Row],[Total global]]-ABS(CCTSAS[[#This Row],[Dont non opposable]]))</f>
        <v/>
      </c>
      <c r="AB381" s="8"/>
      <c r="AC381" s="63"/>
      <c r="AD381" s="428"/>
      <c r="AE381" s="428"/>
      <c r="AF381" s="428"/>
      <c r="AG381" s="43"/>
      <c r="AH381" s="183" t="str">
        <f>IF(COUNTA(CCTSAS[[#This Row],[Nom]:[heures annuelles
selon contrat(s)]])=0,"",REVEX!$E$9)</f>
        <v/>
      </c>
      <c r="AI381" s="72" t="str">
        <f>IF(CCTSAS[[#This Row],[Allocation fonctions]]="","",IF(ISNA(VLOOKUP(CCTSAS[[#This Row],[Allocation fonctions]],DROPDOWN[Dropdown82],1,FALSE))=TRUE,"Veuillez utiliser les allocations parmis la liste déroulante.",""))</f>
        <v/>
      </c>
    </row>
    <row r="382" spans="1:35" x14ac:dyDescent="0.25">
      <c r="A382" s="72" t="str">
        <f>IF(CCTSAS[[#This Row],[Carrière]]="","",IF(ISNA(VLOOKUP(CCTSAS[[#This Row],[Carrière]],DROPDOWN[Dropdown9],1,FALSE))=TRUE,"Carrière: Utiliser la liste déroulante",""))</f>
        <v/>
      </c>
      <c r="B382" s="554" t="str">
        <f>IF(CCTSAS[[#This Row],[Matricule]]="","",MAX($B$7:B381)+1)</f>
        <v/>
      </c>
      <c r="C382" s="8"/>
      <c r="D382" s="8"/>
      <c r="E382" s="20"/>
      <c r="F382" s="63"/>
      <c r="G382" s="8"/>
      <c r="H382" s="8"/>
      <c r="I382" s="10"/>
      <c r="J382" s="10"/>
      <c r="K382" s="9"/>
      <c r="L382" s="9"/>
      <c r="M382" s="9"/>
      <c r="N38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2" s="660"/>
      <c r="P382" s="660"/>
      <c r="Q382" s="461"/>
      <c r="R382" s="381"/>
      <c r="S382" s="37"/>
      <c r="T382" s="37"/>
      <c r="U382" s="37"/>
      <c r="V382" s="37"/>
      <c r="W382" s="37"/>
      <c r="X382" s="37"/>
      <c r="Y38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2" s="37"/>
      <c r="AA382" s="662" t="str">
        <f>IF(COUNTA(CCTSAS[[#This Row],[Nom]:[heures annuelles
selon contrat(s)]])=0,"",CCTSAS[[#This Row],[Total global]]-ABS(CCTSAS[[#This Row],[Dont non opposable]]))</f>
        <v/>
      </c>
      <c r="AB382" s="8"/>
      <c r="AC382" s="63"/>
      <c r="AD382" s="428"/>
      <c r="AE382" s="428"/>
      <c r="AF382" s="428"/>
      <c r="AG382" s="43"/>
      <c r="AH382" s="183" t="str">
        <f>IF(COUNTA(CCTSAS[[#This Row],[Nom]:[heures annuelles
selon contrat(s)]])=0,"",REVEX!$E$9)</f>
        <v/>
      </c>
      <c r="AI382" s="72" t="str">
        <f>IF(CCTSAS[[#This Row],[Allocation fonctions]]="","",IF(ISNA(VLOOKUP(CCTSAS[[#This Row],[Allocation fonctions]],DROPDOWN[Dropdown82],1,FALSE))=TRUE,"Veuillez utiliser les allocations parmis la liste déroulante.",""))</f>
        <v/>
      </c>
    </row>
    <row r="383" spans="1:35" x14ac:dyDescent="0.25">
      <c r="A383" s="72" t="str">
        <f>IF(CCTSAS[[#This Row],[Carrière]]="","",IF(ISNA(VLOOKUP(CCTSAS[[#This Row],[Carrière]],DROPDOWN[Dropdown9],1,FALSE))=TRUE,"Carrière: Utiliser la liste déroulante",""))</f>
        <v/>
      </c>
      <c r="B383" s="554" t="str">
        <f>IF(CCTSAS[[#This Row],[Matricule]]="","",MAX($B$7:B382)+1)</f>
        <v/>
      </c>
      <c r="C383" s="8"/>
      <c r="D383" s="8"/>
      <c r="E383" s="20"/>
      <c r="F383" s="63"/>
      <c r="G383" s="8"/>
      <c r="H383" s="8"/>
      <c r="I383" s="10"/>
      <c r="J383" s="10"/>
      <c r="K383" s="9"/>
      <c r="L383" s="9"/>
      <c r="M383" s="9"/>
      <c r="N38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3" s="660"/>
      <c r="P383" s="660"/>
      <c r="Q383" s="461"/>
      <c r="R383" s="381"/>
      <c r="S383" s="37"/>
      <c r="T383" s="37"/>
      <c r="U383" s="37"/>
      <c r="V383" s="37"/>
      <c r="W383" s="37"/>
      <c r="X383" s="37"/>
      <c r="Y38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3" s="37"/>
      <c r="AA383" s="662" t="str">
        <f>IF(COUNTA(CCTSAS[[#This Row],[Nom]:[heures annuelles
selon contrat(s)]])=0,"",CCTSAS[[#This Row],[Total global]]-ABS(CCTSAS[[#This Row],[Dont non opposable]]))</f>
        <v/>
      </c>
      <c r="AB383" s="8"/>
      <c r="AC383" s="63"/>
      <c r="AD383" s="428"/>
      <c r="AE383" s="428"/>
      <c r="AF383" s="428"/>
      <c r="AG383" s="43"/>
      <c r="AH383" s="183" t="str">
        <f>IF(COUNTA(CCTSAS[[#This Row],[Nom]:[heures annuelles
selon contrat(s)]])=0,"",REVEX!$E$9)</f>
        <v/>
      </c>
      <c r="AI383" s="72" t="str">
        <f>IF(CCTSAS[[#This Row],[Allocation fonctions]]="","",IF(ISNA(VLOOKUP(CCTSAS[[#This Row],[Allocation fonctions]],DROPDOWN[Dropdown82],1,FALSE))=TRUE,"Veuillez utiliser les allocations parmis la liste déroulante.",""))</f>
        <v/>
      </c>
    </row>
    <row r="384" spans="1:35" x14ac:dyDescent="0.25">
      <c r="A384" s="72" t="str">
        <f>IF(CCTSAS[[#This Row],[Carrière]]="","",IF(ISNA(VLOOKUP(CCTSAS[[#This Row],[Carrière]],DROPDOWN[Dropdown9],1,FALSE))=TRUE,"Carrière: Utiliser la liste déroulante",""))</f>
        <v/>
      </c>
      <c r="B384" s="554" t="str">
        <f>IF(CCTSAS[[#This Row],[Matricule]]="","",MAX($B$7:B383)+1)</f>
        <v/>
      </c>
      <c r="C384" s="8"/>
      <c r="D384" s="8"/>
      <c r="E384" s="20"/>
      <c r="F384" s="63"/>
      <c r="G384" s="8"/>
      <c r="H384" s="8"/>
      <c r="I384" s="10"/>
      <c r="J384" s="10"/>
      <c r="K384" s="9"/>
      <c r="L384" s="9"/>
      <c r="M384" s="9"/>
      <c r="N38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4" s="660"/>
      <c r="P384" s="660"/>
      <c r="Q384" s="461"/>
      <c r="R384" s="381"/>
      <c r="S384" s="37"/>
      <c r="T384" s="37"/>
      <c r="U384" s="37"/>
      <c r="V384" s="37"/>
      <c r="W384" s="37"/>
      <c r="X384" s="37"/>
      <c r="Y38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4" s="37"/>
      <c r="AA384" s="662" t="str">
        <f>IF(COUNTA(CCTSAS[[#This Row],[Nom]:[heures annuelles
selon contrat(s)]])=0,"",CCTSAS[[#This Row],[Total global]]-ABS(CCTSAS[[#This Row],[Dont non opposable]]))</f>
        <v/>
      </c>
      <c r="AB384" s="8"/>
      <c r="AC384" s="63"/>
      <c r="AD384" s="428"/>
      <c r="AE384" s="428"/>
      <c r="AF384" s="428"/>
      <c r="AG384" s="43"/>
      <c r="AH384" s="183" t="str">
        <f>IF(COUNTA(CCTSAS[[#This Row],[Nom]:[heures annuelles
selon contrat(s)]])=0,"",REVEX!$E$9)</f>
        <v/>
      </c>
      <c r="AI384" s="72" t="str">
        <f>IF(CCTSAS[[#This Row],[Allocation fonctions]]="","",IF(ISNA(VLOOKUP(CCTSAS[[#This Row],[Allocation fonctions]],DROPDOWN[Dropdown82],1,FALSE))=TRUE,"Veuillez utiliser les allocations parmis la liste déroulante.",""))</f>
        <v/>
      </c>
    </row>
    <row r="385" spans="1:35" x14ac:dyDescent="0.25">
      <c r="A385" s="72" t="str">
        <f>IF(CCTSAS[[#This Row],[Carrière]]="","",IF(ISNA(VLOOKUP(CCTSAS[[#This Row],[Carrière]],DROPDOWN[Dropdown9],1,FALSE))=TRUE,"Carrière: Utiliser la liste déroulante",""))</f>
        <v/>
      </c>
      <c r="B385" s="554" t="str">
        <f>IF(CCTSAS[[#This Row],[Matricule]]="","",MAX($B$7:B384)+1)</f>
        <v/>
      </c>
      <c r="C385" s="8"/>
      <c r="D385" s="8"/>
      <c r="E385" s="20"/>
      <c r="F385" s="63"/>
      <c r="G385" s="8"/>
      <c r="H385" s="8"/>
      <c r="I385" s="10"/>
      <c r="J385" s="10"/>
      <c r="K385" s="9"/>
      <c r="L385" s="9"/>
      <c r="M385" s="9"/>
      <c r="N38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5" s="660"/>
      <c r="P385" s="660"/>
      <c r="Q385" s="461"/>
      <c r="R385" s="381"/>
      <c r="S385" s="37"/>
      <c r="T385" s="37"/>
      <c r="U385" s="37"/>
      <c r="V385" s="37"/>
      <c r="W385" s="37"/>
      <c r="X385" s="37"/>
      <c r="Y38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5" s="37"/>
      <c r="AA385" s="662" t="str">
        <f>IF(COUNTA(CCTSAS[[#This Row],[Nom]:[heures annuelles
selon contrat(s)]])=0,"",CCTSAS[[#This Row],[Total global]]-ABS(CCTSAS[[#This Row],[Dont non opposable]]))</f>
        <v/>
      </c>
      <c r="AB385" s="8"/>
      <c r="AC385" s="63"/>
      <c r="AD385" s="428"/>
      <c r="AE385" s="428"/>
      <c r="AF385" s="428"/>
      <c r="AG385" s="43"/>
      <c r="AH385" s="183" t="str">
        <f>IF(COUNTA(CCTSAS[[#This Row],[Nom]:[heures annuelles
selon contrat(s)]])=0,"",REVEX!$E$9)</f>
        <v/>
      </c>
      <c r="AI385" s="72" t="str">
        <f>IF(CCTSAS[[#This Row],[Allocation fonctions]]="","",IF(ISNA(VLOOKUP(CCTSAS[[#This Row],[Allocation fonctions]],DROPDOWN[Dropdown82],1,FALSE))=TRUE,"Veuillez utiliser les allocations parmis la liste déroulante.",""))</f>
        <v/>
      </c>
    </row>
    <row r="386" spans="1:35" x14ac:dyDescent="0.25">
      <c r="A386" s="72" t="str">
        <f>IF(CCTSAS[[#This Row],[Carrière]]="","",IF(ISNA(VLOOKUP(CCTSAS[[#This Row],[Carrière]],DROPDOWN[Dropdown9],1,FALSE))=TRUE,"Carrière: Utiliser la liste déroulante",""))</f>
        <v/>
      </c>
      <c r="B386" s="554" t="str">
        <f>IF(CCTSAS[[#This Row],[Matricule]]="","",MAX($B$7:B385)+1)</f>
        <v/>
      </c>
      <c r="C386" s="8"/>
      <c r="D386" s="8"/>
      <c r="E386" s="20"/>
      <c r="F386" s="63"/>
      <c r="G386" s="8"/>
      <c r="H386" s="8"/>
      <c r="I386" s="10"/>
      <c r="J386" s="10"/>
      <c r="K386" s="9"/>
      <c r="L386" s="9"/>
      <c r="M386" s="9"/>
      <c r="N38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6" s="660"/>
      <c r="P386" s="660"/>
      <c r="Q386" s="461"/>
      <c r="R386" s="381"/>
      <c r="S386" s="37"/>
      <c r="T386" s="37"/>
      <c r="U386" s="37"/>
      <c r="V386" s="37"/>
      <c r="W386" s="37"/>
      <c r="X386" s="37"/>
      <c r="Y38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6" s="37"/>
      <c r="AA386" s="662" t="str">
        <f>IF(COUNTA(CCTSAS[[#This Row],[Nom]:[heures annuelles
selon contrat(s)]])=0,"",CCTSAS[[#This Row],[Total global]]-ABS(CCTSAS[[#This Row],[Dont non opposable]]))</f>
        <v/>
      </c>
      <c r="AB386" s="8"/>
      <c r="AC386" s="63"/>
      <c r="AD386" s="428"/>
      <c r="AE386" s="428"/>
      <c r="AF386" s="428"/>
      <c r="AG386" s="43"/>
      <c r="AH386" s="183" t="str">
        <f>IF(COUNTA(CCTSAS[[#This Row],[Nom]:[heures annuelles
selon contrat(s)]])=0,"",REVEX!$E$9)</f>
        <v/>
      </c>
      <c r="AI386" s="72" t="str">
        <f>IF(CCTSAS[[#This Row],[Allocation fonctions]]="","",IF(ISNA(VLOOKUP(CCTSAS[[#This Row],[Allocation fonctions]],DROPDOWN[Dropdown82],1,FALSE))=TRUE,"Veuillez utiliser les allocations parmis la liste déroulante.",""))</f>
        <v/>
      </c>
    </row>
    <row r="387" spans="1:35" x14ac:dyDescent="0.25">
      <c r="A387" s="72" t="str">
        <f>IF(CCTSAS[[#This Row],[Carrière]]="","",IF(ISNA(VLOOKUP(CCTSAS[[#This Row],[Carrière]],DROPDOWN[Dropdown9],1,FALSE))=TRUE,"Carrière: Utiliser la liste déroulante",""))</f>
        <v/>
      </c>
      <c r="B387" s="554" t="str">
        <f>IF(CCTSAS[[#This Row],[Matricule]]="","",MAX($B$7:B386)+1)</f>
        <v/>
      </c>
      <c r="C387" s="8"/>
      <c r="D387" s="8"/>
      <c r="E387" s="20"/>
      <c r="F387" s="63"/>
      <c r="G387" s="8"/>
      <c r="H387" s="8"/>
      <c r="I387" s="10"/>
      <c r="J387" s="10"/>
      <c r="K387" s="9"/>
      <c r="L387" s="9"/>
      <c r="M387" s="9"/>
      <c r="N38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7" s="660"/>
      <c r="P387" s="660"/>
      <c r="Q387" s="461"/>
      <c r="R387" s="381"/>
      <c r="S387" s="37"/>
      <c r="T387" s="37"/>
      <c r="U387" s="37"/>
      <c r="V387" s="37"/>
      <c r="W387" s="37"/>
      <c r="X387" s="37"/>
      <c r="Y38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7" s="37"/>
      <c r="AA387" s="662" t="str">
        <f>IF(COUNTA(CCTSAS[[#This Row],[Nom]:[heures annuelles
selon contrat(s)]])=0,"",CCTSAS[[#This Row],[Total global]]-ABS(CCTSAS[[#This Row],[Dont non opposable]]))</f>
        <v/>
      </c>
      <c r="AB387" s="8"/>
      <c r="AC387" s="63"/>
      <c r="AD387" s="428"/>
      <c r="AE387" s="428"/>
      <c r="AF387" s="428"/>
      <c r="AG387" s="43"/>
      <c r="AH387" s="183" t="str">
        <f>IF(COUNTA(CCTSAS[[#This Row],[Nom]:[heures annuelles
selon contrat(s)]])=0,"",REVEX!$E$9)</f>
        <v/>
      </c>
      <c r="AI387" s="72" t="str">
        <f>IF(CCTSAS[[#This Row],[Allocation fonctions]]="","",IF(ISNA(VLOOKUP(CCTSAS[[#This Row],[Allocation fonctions]],DROPDOWN[Dropdown82],1,FALSE))=TRUE,"Veuillez utiliser les allocations parmis la liste déroulante.",""))</f>
        <v/>
      </c>
    </row>
    <row r="388" spans="1:35" x14ac:dyDescent="0.25">
      <c r="A388" s="72" t="str">
        <f>IF(CCTSAS[[#This Row],[Carrière]]="","",IF(ISNA(VLOOKUP(CCTSAS[[#This Row],[Carrière]],DROPDOWN[Dropdown9],1,FALSE))=TRUE,"Carrière: Utiliser la liste déroulante",""))</f>
        <v/>
      </c>
      <c r="B388" s="554" t="str">
        <f>IF(CCTSAS[[#This Row],[Matricule]]="","",MAX($B$7:B387)+1)</f>
        <v/>
      </c>
      <c r="C388" s="8"/>
      <c r="D388" s="8"/>
      <c r="E388" s="20"/>
      <c r="F388" s="63"/>
      <c r="G388" s="8"/>
      <c r="H388" s="8"/>
      <c r="I388" s="10"/>
      <c r="J388" s="10"/>
      <c r="K388" s="9"/>
      <c r="L388" s="9"/>
      <c r="M388" s="9"/>
      <c r="N38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8" s="660"/>
      <c r="P388" s="660"/>
      <c r="Q388" s="461"/>
      <c r="R388" s="381"/>
      <c r="S388" s="37"/>
      <c r="T388" s="37"/>
      <c r="U388" s="37"/>
      <c r="V388" s="37"/>
      <c r="W388" s="37"/>
      <c r="X388" s="37"/>
      <c r="Y38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8" s="37"/>
      <c r="AA388" s="662" t="str">
        <f>IF(COUNTA(CCTSAS[[#This Row],[Nom]:[heures annuelles
selon contrat(s)]])=0,"",CCTSAS[[#This Row],[Total global]]-ABS(CCTSAS[[#This Row],[Dont non opposable]]))</f>
        <v/>
      </c>
      <c r="AB388" s="8"/>
      <c r="AC388" s="63"/>
      <c r="AD388" s="428"/>
      <c r="AE388" s="428"/>
      <c r="AF388" s="428"/>
      <c r="AG388" s="43"/>
      <c r="AH388" s="183" t="str">
        <f>IF(COUNTA(CCTSAS[[#This Row],[Nom]:[heures annuelles
selon contrat(s)]])=0,"",REVEX!$E$9)</f>
        <v/>
      </c>
      <c r="AI388" s="72" t="str">
        <f>IF(CCTSAS[[#This Row],[Allocation fonctions]]="","",IF(ISNA(VLOOKUP(CCTSAS[[#This Row],[Allocation fonctions]],DROPDOWN[Dropdown82],1,FALSE))=TRUE,"Veuillez utiliser les allocations parmis la liste déroulante.",""))</f>
        <v/>
      </c>
    </row>
    <row r="389" spans="1:35" x14ac:dyDescent="0.25">
      <c r="A389" s="72" t="str">
        <f>IF(CCTSAS[[#This Row],[Carrière]]="","",IF(ISNA(VLOOKUP(CCTSAS[[#This Row],[Carrière]],DROPDOWN[Dropdown9],1,FALSE))=TRUE,"Carrière: Utiliser la liste déroulante",""))</f>
        <v/>
      </c>
      <c r="B389" s="554" t="str">
        <f>IF(CCTSAS[[#This Row],[Matricule]]="","",MAX($B$7:B388)+1)</f>
        <v/>
      </c>
      <c r="C389" s="8"/>
      <c r="D389" s="8"/>
      <c r="E389" s="20"/>
      <c r="F389" s="63"/>
      <c r="G389" s="8"/>
      <c r="H389" s="8"/>
      <c r="I389" s="10"/>
      <c r="J389" s="10"/>
      <c r="K389" s="9"/>
      <c r="L389" s="9"/>
      <c r="M389" s="9"/>
      <c r="N38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89" s="660"/>
      <c r="P389" s="660"/>
      <c r="Q389" s="461"/>
      <c r="R389" s="381"/>
      <c r="S389" s="37"/>
      <c r="T389" s="37"/>
      <c r="U389" s="37"/>
      <c r="V389" s="37"/>
      <c r="W389" s="37"/>
      <c r="X389" s="37"/>
      <c r="Y38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89" s="37"/>
      <c r="AA389" s="662" t="str">
        <f>IF(COUNTA(CCTSAS[[#This Row],[Nom]:[heures annuelles
selon contrat(s)]])=0,"",CCTSAS[[#This Row],[Total global]]-ABS(CCTSAS[[#This Row],[Dont non opposable]]))</f>
        <v/>
      </c>
      <c r="AB389" s="8"/>
      <c r="AC389" s="63"/>
      <c r="AD389" s="428"/>
      <c r="AE389" s="428"/>
      <c r="AF389" s="428"/>
      <c r="AG389" s="43"/>
      <c r="AH389" s="183" t="str">
        <f>IF(COUNTA(CCTSAS[[#This Row],[Nom]:[heures annuelles
selon contrat(s)]])=0,"",REVEX!$E$9)</f>
        <v/>
      </c>
      <c r="AI389" s="72" t="str">
        <f>IF(CCTSAS[[#This Row],[Allocation fonctions]]="","",IF(ISNA(VLOOKUP(CCTSAS[[#This Row],[Allocation fonctions]],DROPDOWN[Dropdown82],1,FALSE))=TRUE,"Veuillez utiliser les allocations parmis la liste déroulante.",""))</f>
        <v/>
      </c>
    </row>
    <row r="390" spans="1:35" x14ac:dyDescent="0.25">
      <c r="A390" s="72" t="str">
        <f>IF(CCTSAS[[#This Row],[Carrière]]="","",IF(ISNA(VLOOKUP(CCTSAS[[#This Row],[Carrière]],DROPDOWN[Dropdown9],1,FALSE))=TRUE,"Carrière: Utiliser la liste déroulante",""))</f>
        <v/>
      </c>
      <c r="B390" s="554" t="str">
        <f>IF(CCTSAS[[#This Row],[Matricule]]="","",MAX($B$7:B389)+1)</f>
        <v/>
      </c>
      <c r="C390" s="8"/>
      <c r="D390" s="8"/>
      <c r="E390" s="20"/>
      <c r="F390" s="63"/>
      <c r="G390" s="8"/>
      <c r="H390" s="8"/>
      <c r="I390" s="10"/>
      <c r="J390" s="10"/>
      <c r="K390" s="9"/>
      <c r="L390" s="9"/>
      <c r="M390" s="9"/>
      <c r="N39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0" s="660"/>
      <c r="P390" s="660"/>
      <c r="Q390" s="461"/>
      <c r="R390" s="381"/>
      <c r="S390" s="37"/>
      <c r="T390" s="37"/>
      <c r="U390" s="37"/>
      <c r="V390" s="37"/>
      <c r="W390" s="37"/>
      <c r="X390" s="37"/>
      <c r="Y39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0" s="37"/>
      <c r="AA390" s="662" t="str">
        <f>IF(COUNTA(CCTSAS[[#This Row],[Nom]:[heures annuelles
selon contrat(s)]])=0,"",CCTSAS[[#This Row],[Total global]]-ABS(CCTSAS[[#This Row],[Dont non opposable]]))</f>
        <v/>
      </c>
      <c r="AB390" s="8"/>
      <c r="AC390" s="63"/>
      <c r="AD390" s="428"/>
      <c r="AE390" s="428"/>
      <c r="AF390" s="428"/>
      <c r="AG390" s="43"/>
      <c r="AH390" s="183" t="str">
        <f>IF(COUNTA(CCTSAS[[#This Row],[Nom]:[heures annuelles
selon contrat(s)]])=0,"",REVEX!$E$9)</f>
        <v/>
      </c>
      <c r="AI390" s="72" t="str">
        <f>IF(CCTSAS[[#This Row],[Allocation fonctions]]="","",IF(ISNA(VLOOKUP(CCTSAS[[#This Row],[Allocation fonctions]],DROPDOWN[Dropdown82],1,FALSE))=TRUE,"Veuillez utiliser les allocations parmis la liste déroulante.",""))</f>
        <v/>
      </c>
    </row>
    <row r="391" spans="1:35" x14ac:dyDescent="0.25">
      <c r="A391" s="72" t="str">
        <f>IF(CCTSAS[[#This Row],[Carrière]]="","",IF(ISNA(VLOOKUP(CCTSAS[[#This Row],[Carrière]],DROPDOWN[Dropdown9],1,FALSE))=TRUE,"Carrière: Utiliser la liste déroulante",""))</f>
        <v/>
      </c>
      <c r="B391" s="554" t="str">
        <f>IF(CCTSAS[[#This Row],[Matricule]]="","",MAX($B$7:B390)+1)</f>
        <v/>
      </c>
      <c r="C391" s="8"/>
      <c r="D391" s="8"/>
      <c r="E391" s="20"/>
      <c r="F391" s="63"/>
      <c r="G391" s="8"/>
      <c r="H391" s="8"/>
      <c r="I391" s="10"/>
      <c r="J391" s="10"/>
      <c r="K391" s="9"/>
      <c r="L391" s="9"/>
      <c r="M391" s="9"/>
      <c r="N39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1" s="660"/>
      <c r="P391" s="660"/>
      <c r="Q391" s="461"/>
      <c r="R391" s="381"/>
      <c r="S391" s="37"/>
      <c r="T391" s="37"/>
      <c r="U391" s="37"/>
      <c r="V391" s="37"/>
      <c r="W391" s="37"/>
      <c r="X391" s="37"/>
      <c r="Y39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1" s="37"/>
      <c r="AA391" s="662" t="str">
        <f>IF(COUNTA(CCTSAS[[#This Row],[Nom]:[heures annuelles
selon contrat(s)]])=0,"",CCTSAS[[#This Row],[Total global]]-ABS(CCTSAS[[#This Row],[Dont non opposable]]))</f>
        <v/>
      </c>
      <c r="AB391" s="8"/>
      <c r="AC391" s="63"/>
      <c r="AD391" s="428"/>
      <c r="AE391" s="428"/>
      <c r="AF391" s="428"/>
      <c r="AG391" s="43"/>
      <c r="AH391" s="183" t="str">
        <f>IF(COUNTA(CCTSAS[[#This Row],[Nom]:[heures annuelles
selon contrat(s)]])=0,"",REVEX!$E$9)</f>
        <v/>
      </c>
      <c r="AI391" s="72" t="str">
        <f>IF(CCTSAS[[#This Row],[Allocation fonctions]]="","",IF(ISNA(VLOOKUP(CCTSAS[[#This Row],[Allocation fonctions]],DROPDOWN[Dropdown82],1,FALSE))=TRUE,"Veuillez utiliser les allocations parmis la liste déroulante.",""))</f>
        <v/>
      </c>
    </row>
    <row r="392" spans="1:35" x14ac:dyDescent="0.25">
      <c r="A392" s="72" t="str">
        <f>IF(CCTSAS[[#This Row],[Carrière]]="","",IF(ISNA(VLOOKUP(CCTSAS[[#This Row],[Carrière]],DROPDOWN[Dropdown9],1,FALSE))=TRUE,"Carrière: Utiliser la liste déroulante",""))</f>
        <v/>
      </c>
      <c r="B392" s="554" t="str">
        <f>IF(CCTSAS[[#This Row],[Matricule]]="","",MAX($B$7:B391)+1)</f>
        <v/>
      </c>
      <c r="C392" s="8"/>
      <c r="D392" s="8"/>
      <c r="E392" s="20"/>
      <c r="F392" s="63"/>
      <c r="G392" s="8"/>
      <c r="H392" s="8"/>
      <c r="I392" s="10"/>
      <c r="J392" s="10"/>
      <c r="K392" s="9"/>
      <c r="L392" s="9"/>
      <c r="M392" s="9"/>
      <c r="N39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2" s="660"/>
      <c r="P392" s="660"/>
      <c r="Q392" s="461"/>
      <c r="R392" s="381"/>
      <c r="S392" s="37"/>
      <c r="T392" s="37"/>
      <c r="U392" s="37"/>
      <c r="V392" s="37"/>
      <c r="W392" s="37"/>
      <c r="X392" s="37"/>
      <c r="Y39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2" s="37"/>
      <c r="AA392" s="662" t="str">
        <f>IF(COUNTA(CCTSAS[[#This Row],[Nom]:[heures annuelles
selon contrat(s)]])=0,"",CCTSAS[[#This Row],[Total global]]-ABS(CCTSAS[[#This Row],[Dont non opposable]]))</f>
        <v/>
      </c>
      <c r="AB392" s="8"/>
      <c r="AC392" s="63"/>
      <c r="AD392" s="428"/>
      <c r="AE392" s="428"/>
      <c r="AF392" s="428"/>
      <c r="AG392" s="43"/>
      <c r="AH392" s="183" t="str">
        <f>IF(COUNTA(CCTSAS[[#This Row],[Nom]:[heures annuelles
selon contrat(s)]])=0,"",REVEX!$E$9)</f>
        <v/>
      </c>
      <c r="AI392" s="72" t="str">
        <f>IF(CCTSAS[[#This Row],[Allocation fonctions]]="","",IF(ISNA(VLOOKUP(CCTSAS[[#This Row],[Allocation fonctions]],DROPDOWN[Dropdown82],1,FALSE))=TRUE,"Veuillez utiliser les allocations parmis la liste déroulante.",""))</f>
        <v/>
      </c>
    </row>
    <row r="393" spans="1:35" x14ac:dyDescent="0.25">
      <c r="A393" s="72" t="str">
        <f>IF(CCTSAS[[#This Row],[Carrière]]="","",IF(ISNA(VLOOKUP(CCTSAS[[#This Row],[Carrière]],DROPDOWN[Dropdown9],1,FALSE))=TRUE,"Carrière: Utiliser la liste déroulante",""))</f>
        <v/>
      </c>
      <c r="B393" s="554" t="str">
        <f>IF(CCTSAS[[#This Row],[Matricule]]="","",MAX($B$7:B392)+1)</f>
        <v/>
      </c>
      <c r="C393" s="8"/>
      <c r="D393" s="8"/>
      <c r="E393" s="20"/>
      <c r="F393" s="63"/>
      <c r="G393" s="8"/>
      <c r="H393" s="8"/>
      <c r="I393" s="10"/>
      <c r="J393" s="10"/>
      <c r="K393" s="9"/>
      <c r="L393" s="9"/>
      <c r="M393" s="9"/>
      <c r="N39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3" s="660"/>
      <c r="P393" s="660"/>
      <c r="Q393" s="461"/>
      <c r="R393" s="381"/>
      <c r="S393" s="37"/>
      <c r="T393" s="37"/>
      <c r="U393" s="37"/>
      <c r="V393" s="37"/>
      <c r="W393" s="37"/>
      <c r="X393" s="37"/>
      <c r="Y39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3" s="37"/>
      <c r="AA393" s="662" t="str">
        <f>IF(COUNTA(CCTSAS[[#This Row],[Nom]:[heures annuelles
selon contrat(s)]])=0,"",CCTSAS[[#This Row],[Total global]]-ABS(CCTSAS[[#This Row],[Dont non opposable]]))</f>
        <v/>
      </c>
      <c r="AB393" s="8"/>
      <c r="AC393" s="63"/>
      <c r="AD393" s="428"/>
      <c r="AE393" s="428"/>
      <c r="AF393" s="428"/>
      <c r="AG393" s="43"/>
      <c r="AH393" s="183" t="str">
        <f>IF(COUNTA(CCTSAS[[#This Row],[Nom]:[heures annuelles
selon contrat(s)]])=0,"",REVEX!$E$9)</f>
        <v/>
      </c>
      <c r="AI393" s="72" t="str">
        <f>IF(CCTSAS[[#This Row],[Allocation fonctions]]="","",IF(ISNA(VLOOKUP(CCTSAS[[#This Row],[Allocation fonctions]],DROPDOWN[Dropdown82],1,FALSE))=TRUE,"Veuillez utiliser les allocations parmis la liste déroulante.",""))</f>
        <v/>
      </c>
    </row>
    <row r="394" spans="1:35" x14ac:dyDescent="0.25">
      <c r="A394" s="72" t="str">
        <f>IF(CCTSAS[[#This Row],[Carrière]]="","",IF(ISNA(VLOOKUP(CCTSAS[[#This Row],[Carrière]],DROPDOWN[Dropdown9],1,FALSE))=TRUE,"Carrière: Utiliser la liste déroulante",""))</f>
        <v/>
      </c>
      <c r="B394" s="554" t="str">
        <f>IF(CCTSAS[[#This Row],[Matricule]]="","",MAX($B$7:B393)+1)</f>
        <v/>
      </c>
      <c r="C394" s="8"/>
      <c r="D394" s="8"/>
      <c r="E394" s="20"/>
      <c r="F394" s="63"/>
      <c r="G394" s="8"/>
      <c r="H394" s="8"/>
      <c r="I394" s="10"/>
      <c r="J394" s="10"/>
      <c r="K394" s="9"/>
      <c r="L394" s="9"/>
      <c r="M394" s="9"/>
      <c r="N39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4" s="660"/>
      <c r="P394" s="660"/>
      <c r="Q394" s="461"/>
      <c r="R394" s="381"/>
      <c r="S394" s="37"/>
      <c r="T394" s="37"/>
      <c r="U394" s="37"/>
      <c r="V394" s="37"/>
      <c r="W394" s="37"/>
      <c r="X394" s="37"/>
      <c r="Y39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4" s="37"/>
      <c r="AA394" s="662" t="str">
        <f>IF(COUNTA(CCTSAS[[#This Row],[Nom]:[heures annuelles
selon contrat(s)]])=0,"",CCTSAS[[#This Row],[Total global]]-ABS(CCTSAS[[#This Row],[Dont non opposable]]))</f>
        <v/>
      </c>
      <c r="AB394" s="8"/>
      <c r="AC394" s="63"/>
      <c r="AD394" s="428"/>
      <c r="AE394" s="428"/>
      <c r="AF394" s="428"/>
      <c r="AG394" s="43"/>
      <c r="AH394" s="183" t="str">
        <f>IF(COUNTA(CCTSAS[[#This Row],[Nom]:[heures annuelles
selon contrat(s)]])=0,"",REVEX!$E$9)</f>
        <v/>
      </c>
      <c r="AI394" s="72" t="str">
        <f>IF(CCTSAS[[#This Row],[Allocation fonctions]]="","",IF(ISNA(VLOOKUP(CCTSAS[[#This Row],[Allocation fonctions]],DROPDOWN[Dropdown82],1,FALSE))=TRUE,"Veuillez utiliser les allocations parmis la liste déroulante.",""))</f>
        <v/>
      </c>
    </row>
    <row r="395" spans="1:35" x14ac:dyDescent="0.25">
      <c r="A395" s="72" t="str">
        <f>IF(CCTSAS[[#This Row],[Carrière]]="","",IF(ISNA(VLOOKUP(CCTSAS[[#This Row],[Carrière]],DROPDOWN[Dropdown9],1,FALSE))=TRUE,"Carrière: Utiliser la liste déroulante",""))</f>
        <v/>
      </c>
      <c r="B395" s="554" t="str">
        <f>IF(CCTSAS[[#This Row],[Matricule]]="","",MAX($B$7:B394)+1)</f>
        <v/>
      </c>
      <c r="C395" s="8"/>
      <c r="D395" s="8"/>
      <c r="E395" s="20"/>
      <c r="F395" s="63"/>
      <c r="G395" s="8"/>
      <c r="H395" s="8"/>
      <c r="I395" s="10"/>
      <c r="J395" s="10"/>
      <c r="K395" s="9"/>
      <c r="L395" s="9"/>
      <c r="M395" s="9"/>
      <c r="N39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5" s="660"/>
      <c r="P395" s="660"/>
      <c r="Q395" s="461"/>
      <c r="R395" s="381"/>
      <c r="S395" s="37"/>
      <c r="T395" s="37"/>
      <c r="U395" s="37"/>
      <c r="V395" s="37"/>
      <c r="W395" s="37"/>
      <c r="X395" s="37"/>
      <c r="Y39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5" s="37"/>
      <c r="AA395" s="662" t="str">
        <f>IF(COUNTA(CCTSAS[[#This Row],[Nom]:[heures annuelles
selon contrat(s)]])=0,"",CCTSAS[[#This Row],[Total global]]-ABS(CCTSAS[[#This Row],[Dont non opposable]]))</f>
        <v/>
      </c>
      <c r="AB395" s="8"/>
      <c r="AC395" s="63"/>
      <c r="AD395" s="428"/>
      <c r="AE395" s="428"/>
      <c r="AF395" s="428"/>
      <c r="AG395" s="43"/>
      <c r="AH395" s="183" t="str">
        <f>IF(COUNTA(CCTSAS[[#This Row],[Nom]:[heures annuelles
selon contrat(s)]])=0,"",REVEX!$E$9)</f>
        <v/>
      </c>
      <c r="AI395" s="72" t="str">
        <f>IF(CCTSAS[[#This Row],[Allocation fonctions]]="","",IF(ISNA(VLOOKUP(CCTSAS[[#This Row],[Allocation fonctions]],DROPDOWN[Dropdown82],1,FALSE))=TRUE,"Veuillez utiliser les allocations parmis la liste déroulante.",""))</f>
        <v/>
      </c>
    </row>
    <row r="396" spans="1:35" x14ac:dyDescent="0.25">
      <c r="A396" s="72" t="str">
        <f>IF(CCTSAS[[#This Row],[Carrière]]="","",IF(ISNA(VLOOKUP(CCTSAS[[#This Row],[Carrière]],DROPDOWN[Dropdown9],1,FALSE))=TRUE,"Carrière: Utiliser la liste déroulante",""))</f>
        <v/>
      </c>
      <c r="B396" s="554" t="str">
        <f>IF(CCTSAS[[#This Row],[Matricule]]="","",MAX($B$7:B395)+1)</f>
        <v/>
      </c>
      <c r="C396" s="8"/>
      <c r="D396" s="8"/>
      <c r="E396" s="20"/>
      <c r="F396" s="63"/>
      <c r="G396" s="8"/>
      <c r="H396" s="8"/>
      <c r="I396" s="10"/>
      <c r="J396" s="10"/>
      <c r="K396" s="9"/>
      <c r="L396" s="9"/>
      <c r="M396" s="9"/>
      <c r="N39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6" s="660"/>
      <c r="P396" s="660"/>
      <c r="Q396" s="461"/>
      <c r="R396" s="381"/>
      <c r="S396" s="37"/>
      <c r="T396" s="37"/>
      <c r="U396" s="37"/>
      <c r="V396" s="37"/>
      <c r="W396" s="37"/>
      <c r="X396" s="37"/>
      <c r="Y39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6" s="37"/>
      <c r="AA396" s="662" t="str">
        <f>IF(COUNTA(CCTSAS[[#This Row],[Nom]:[heures annuelles
selon contrat(s)]])=0,"",CCTSAS[[#This Row],[Total global]]-ABS(CCTSAS[[#This Row],[Dont non opposable]]))</f>
        <v/>
      </c>
      <c r="AB396" s="8"/>
      <c r="AC396" s="63"/>
      <c r="AD396" s="428"/>
      <c r="AE396" s="428"/>
      <c r="AF396" s="428"/>
      <c r="AG396" s="43"/>
      <c r="AH396" s="183" t="str">
        <f>IF(COUNTA(CCTSAS[[#This Row],[Nom]:[heures annuelles
selon contrat(s)]])=0,"",REVEX!$E$9)</f>
        <v/>
      </c>
      <c r="AI396" s="72" t="str">
        <f>IF(CCTSAS[[#This Row],[Allocation fonctions]]="","",IF(ISNA(VLOOKUP(CCTSAS[[#This Row],[Allocation fonctions]],DROPDOWN[Dropdown82],1,FALSE))=TRUE,"Veuillez utiliser les allocations parmis la liste déroulante.",""))</f>
        <v/>
      </c>
    </row>
    <row r="397" spans="1:35" x14ac:dyDescent="0.25">
      <c r="A397" s="72" t="str">
        <f>IF(CCTSAS[[#This Row],[Carrière]]="","",IF(ISNA(VLOOKUP(CCTSAS[[#This Row],[Carrière]],DROPDOWN[Dropdown9],1,FALSE))=TRUE,"Carrière: Utiliser la liste déroulante",""))</f>
        <v/>
      </c>
      <c r="B397" s="554" t="str">
        <f>IF(CCTSAS[[#This Row],[Matricule]]="","",MAX($B$7:B396)+1)</f>
        <v/>
      </c>
      <c r="C397" s="8"/>
      <c r="D397" s="8"/>
      <c r="E397" s="20"/>
      <c r="F397" s="63"/>
      <c r="G397" s="8"/>
      <c r="H397" s="8"/>
      <c r="I397" s="10"/>
      <c r="J397" s="10"/>
      <c r="K397" s="9"/>
      <c r="L397" s="9"/>
      <c r="M397" s="9"/>
      <c r="N39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7" s="660"/>
      <c r="P397" s="660"/>
      <c r="Q397" s="461"/>
      <c r="R397" s="381"/>
      <c r="S397" s="37"/>
      <c r="T397" s="37"/>
      <c r="U397" s="37"/>
      <c r="V397" s="37"/>
      <c r="W397" s="37"/>
      <c r="X397" s="37"/>
      <c r="Y39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7" s="37"/>
      <c r="AA397" s="662" t="str">
        <f>IF(COUNTA(CCTSAS[[#This Row],[Nom]:[heures annuelles
selon contrat(s)]])=0,"",CCTSAS[[#This Row],[Total global]]-ABS(CCTSAS[[#This Row],[Dont non opposable]]))</f>
        <v/>
      </c>
      <c r="AB397" s="8"/>
      <c r="AC397" s="63"/>
      <c r="AD397" s="428"/>
      <c r="AE397" s="428"/>
      <c r="AF397" s="428"/>
      <c r="AG397" s="43"/>
      <c r="AH397" s="183" t="str">
        <f>IF(COUNTA(CCTSAS[[#This Row],[Nom]:[heures annuelles
selon contrat(s)]])=0,"",REVEX!$E$9)</f>
        <v/>
      </c>
      <c r="AI397" s="72" t="str">
        <f>IF(CCTSAS[[#This Row],[Allocation fonctions]]="","",IF(ISNA(VLOOKUP(CCTSAS[[#This Row],[Allocation fonctions]],DROPDOWN[Dropdown82],1,FALSE))=TRUE,"Veuillez utiliser les allocations parmis la liste déroulante.",""))</f>
        <v/>
      </c>
    </row>
    <row r="398" spans="1:35" x14ac:dyDescent="0.25">
      <c r="A398" s="72" t="str">
        <f>IF(CCTSAS[[#This Row],[Carrière]]="","",IF(ISNA(VLOOKUP(CCTSAS[[#This Row],[Carrière]],DROPDOWN[Dropdown9],1,FALSE))=TRUE,"Carrière: Utiliser la liste déroulante",""))</f>
        <v/>
      </c>
      <c r="B398" s="554" t="str">
        <f>IF(CCTSAS[[#This Row],[Matricule]]="","",MAX($B$7:B397)+1)</f>
        <v/>
      </c>
      <c r="C398" s="8"/>
      <c r="D398" s="8"/>
      <c r="E398" s="20"/>
      <c r="F398" s="63"/>
      <c r="G398" s="8"/>
      <c r="H398" s="8"/>
      <c r="I398" s="10"/>
      <c r="J398" s="10"/>
      <c r="K398" s="9"/>
      <c r="L398" s="9"/>
      <c r="M398" s="9"/>
      <c r="N39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8" s="660"/>
      <c r="P398" s="660"/>
      <c r="Q398" s="461"/>
      <c r="R398" s="381"/>
      <c r="S398" s="37"/>
      <c r="T398" s="37"/>
      <c r="U398" s="37"/>
      <c r="V398" s="37"/>
      <c r="W398" s="37"/>
      <c r="X398" s="37"/>
      <c r="Y39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8" s="37"/>
      <c r="AA398" s="662" t="str">
        <f>IF(COUNTA(CCTSAS[[#This Row],[Nom]:[heures annuelles
selon contrat(s)]])=0,"",CCTSAS[[#This Row],[Total global]]-ABS(CCTSAS[[#This Row],[Dont non opposable]]))</f>
        <v/>
      </c>
      <c r="AB398" s="8"/>
      <c r="AC398" s="63"/>
      <c r="AD398" s="428"/>
      <c r="AE398" s="428"/>
      <c r="AF398" s="428"/>
      <c r="AG398" s="43"/>
      <c r="AH398" s="183" t="str">
        <f>IF(COUNTA(CCTSAS[[#This Row],[Nom]:[heures annuelles
selon contrat(s)]])=0,"",REVEX!$E$9)</f>
        <v/>
      </c>
      <c r="AI398" s="72" t="str">
        <f>IF(CCTSAS[[#This Row],[Allocation fonctions]]="","",IF(ISNA(VLOOKUP(CCTSAS[[#This Row],[Allocation fonctions]],DROPDOWN[Dropdown82],1,FALSE))=TRUE,"Veuillez utiliser les allocations parmis la liste déroulante.",""))</f>
        <v/>
      </c>
    </row>
    <row r="399" spans="1:35" x14ac:dyDescent="0.25">
      <c r="A399" s="72" t="str">
        <f>IF(CCTSAS[[#This Row],[Carrière]]="","",IF(ISNA(VLOOKUP(CCTSAS[[#This Row],[Carrière]],DROPDOWN[Dropdown9],1,FALSE))=TRUE,"Carrière: Utiliser la liste déroulante",""))</f>
        <v/>
      </c>
      <c r="B399" s="554" t="str">
        <f>IF(CCTSAS[[#This Row],[Matricule]]="","",MAX($B$7:B398)+1)</f>
        <v/>
      </c>
      <c r="C399" s="8"/>
      <c r="D399" s="8"/>
      <c r="E399" s="20"/>
      <c r="F399" s="63"/>
      <c r="G399" s="8"/>
      <c r="H399" s="8"/>
      <c r="I399" s="10"/>
      <c r="J399" s="10"/>
      <c r="K399" s="9"/>
      <c r="L399" s="9"/>
      <c r="M399" s="9"/>
      <c r="N39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399" s="660"/>
      <c r="P399" s="660"/>
      <c r="Q399" s="461"/>
      <c r="R399" s="381"/>
      <c r="S399" s="37"/>
      <c r="T399" s="37"/>
      <c r="U399" s="37"/>
      <c r="V399" s="37"/>
      <c r="W399" s="37"/>
      <c r="X399" s="37"/>
      <c r="Y39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399" s="37"/>
      <c r="AA399" s="662" t="str">
        <f>IF(COUNTA(CCTSAS[[#This Row],[Nom]:[heures annuelles
selon contrat(s)]])=0,"",CCTSAS[[#This Row],[Total global]]-ABS(CCTSAS[[#This Row],[Dont non opposable]]))</f>
        <v/>
      </c>
      <c r="AB399" s="8"/>
      <c r="AC399" s="63"/>
      <c r="AD399" s="428"/>
      <c r="AE399" s="428"/>
      <c r="AF399" s="428"/>
      <c r="AG399" s="43"/>
      <c r="AH399" s="183" t="str">
        <f>IF(COUNTA(CCTSAS[[#This Row],[Nom]:[heures annuelles
selon contrat(s)]])=0,"",REVEX!$E$9)</f>
        <v/>
      </c>
      <c r="AI399" s="72" t="str">
        <f>IF(CCTSAS[[#This Row],[Allocation fonctions]]="","",IF(ISNA(VLOOKUP(CCTSAS[[#This Row],[Allocation fonctions]],DROPDOWN[Dropdown82],1,FALSE))=TRUE,"Veuillez utiliser les allocations parmis la liste déroulante.",""))</f>
        <v/>
      </c>
    </row>
    <row r="400" spans="1:35" x14ac:dyDescent="0.25">
      <c r="A400" s="72" t="str">
        <f>IF(CCTSAS[[#This Row],[Carrière]]="","",IF(ISNA(VLOOKUP(CCTSAS[[#This Row],[Carrière]],DROPDOWN[Dropdown9],1,FALSE))=TRUE,"Carrière: Utiliser la liste déroulante",""))</f>
        <v/>
      </c>
      <c r="B400" s="554" t="str">
        <f>IF(CCTSAS[[#This Row],[Matricule]]="","",MAX($B$7:B399)+1)</f>
        <v/>
      </c>
      <c r="C400" s="8"/>
      <c r="D400" s="8"/>
      <c r="E400" s="20"/>
      <c r="F400" s="63"/>
      <c r="G400" s="8"/>
      <c r="H400" s="8"/>
      <c r="I400" s="10"/>
      <c r="J400" s="10"/>
      <c r="K400" s="9"/>
      <c r="L400" s="9"/>
      <c r="M400" s="9"/>
      <c r="N40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0" s="660"/>
      <c r="P400" s="660"/>
      <c r="Q400" s="461"/>
      <c r="R400" s="381"/>
      <c r="S400" s="37"/>
      <c r="T400" s="37"/>
      <c r="U400" s="37"/>
      <c r="V400" s="37"/>
      <c r="W400" s="37"/>
      <c r="X400" s="37"/>
      <c r="Y40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0" s="37"/>
      <c r="AA400" s="662" t="str">
        <f>IF(COUNTA(CCTSAS[[#This Row],[Nom]:[heures annuelles
selon contrat(s)]])=0,"",CCTSAS[[#This Row],[Total global]]-ABS(CCTSAS[[#This Row],[Dont non opposable]]))</f>
        <v/>
      </c>
      <c r="AB400" s="8"/>
      <c r="AC400" s="63"/>
      <c r="AD400" s="428"/>
      <c r="AE400" s="428"/>
      <c r="AF400" s="428"/>
      <c r="AG400" s="43"/>
      <c r="AH400" s="183" t="str">
        <f>IF(COUNTA(CCTSAS[[#This Row],[Nom]:[heures annuelles
selon contrat(s)]])=0,"",REVEX!$E$9)</f>
        <v/>
      </c>
      <c r="AI400" s="72" t="str">
        <f>IF(CCTSAS[[#This Row],[Allocation fonctions]]="","",IF(ISNA(VLOOKUP(CCTSAS[[#This Row],[Allocation fonctions]],DROPDOWN[Dropdown82],1,FALSE))=TRUE,"Veuillez utiliser les allocations parmis la liste déroulante.",""))</f>
        <v/>
      </c>
    </row>
    <row r="401" spans="1:35" x14ac:dyDescent="0.25">
      <c r="A401" s="72" t="str">
        <f>IF(CCTSAS[[#This Row],[Carrière]]="","",IF(ISNA(VLOOKUP(CCTSAS[[#This Row],[Carrière]],DROPDOWN[Dropdown9],1,FALSE))=TRUE,"Carrière: Utiliser la liste déroulante",""))</f>
        <v/>
      </c>
      <c r="B401" s="554" t="str">
        <f>IF(CCTSAS[[#This Row],[Matricule]]="","",MAX($B$7:B400)+1)</f>
        <v/>
      </c>
      <c r="C401" s="8"/>
      <c r="D401" s="8"/>
      <c r="E401" s="20"/>
      <c r="F401" s="63"/>
      <c r="G401" s="8"/>
      <c r="H401" s="8"/>
      <c r="I401" s="10"/>
      <c r="J401" s="10"/>
      <c r="K401" s="9"/>
      <c r="L401" s="9"/>
      <c r="M401" s="9"/>
      <c r="N40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1" s="660"/>
      <c r="P401" s="660"/>
      <c r="Q401" s="461"/>
      <c r="R401" s="381"/>
      <c r="S401" s="37"/>
      <c r="T401" s="37"/>
      <c r="U401" s="37"/>
      <c r="V401" s="37"/>
      <c r="W401" s="37"/>
      <c r="X401" s="37"/>
      <c r="Y40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1" s="37"/>
      <c r="AA401" s="662" t="str">
        <f>IF(COUNTA(CCTSAS[[#This Row],[Nom]:[heures annuelles
selon contrat(s)]])=0,"",CCTSAS[[#This Row],[Total global]]-ABS(CCTSAS[[#This Row],[Dont non opposable]]))</f>
        <v/>
      </c>
      <c r="AB401" s="8"/>
      <c r="AC401" s="63"/>
      <c r="AD401" s="428"/>
      <c r="AE401" s="428"/>
      <c r="AF401" s="428"/>
      <c r="AG401" s="43"/>
      <c r="AH401" s="183" t="str">
        <f>IF(COUNTA(CCTSAS[[#This Row],[Nom]:[heures annuelles
selon contrat(s)]])=0,"",REVEX!$E$9)</f>
        <v/>
      </c>
      <c r="AI401" s="72" t="str">
        <f>IF(CCTSAS[[#This Row],[Allocation fonctions]]="","",IF(ISNA(VLOOKUP(CCTSAS[[#This Row],[Allocation fonctions]],DROPDOWN[Dropdown82],1,FALSE))=TRUE,"Veuillez utiliser les allocations parmis la liste déroulante.",""))</f>
        <v/>
      </c>
    </row>
    <row r="402" spans="1:35" x14ac:dyDescent="0.25">
      <c r="A402" s="72" t="str">
        <f>IF(CCTSAS[[#This Row],[Carrière]]="","",IF(ISNA(VLOOKUP(CCTSAS[[#This Row],[Carrière]],DROPDOWN[Dropdown9],1,FALSE))=TRUE,"Carrière: Utiliser la liste déroulante",""))</f>
        <v/>
      </c>
      <c r="B402" s="554" t="str">
        <f>IF(CCTSAS[[#This Row],[Matricule]]="","",MAX($B$7:B401)+1)</f>
        <v/>
      </c>
      <c r="C402" s="8"/>
      <c r="D402" s="8"/>
      <c r="E402" s="20"/>
      <c r="F402" s="63"/>
      <c r="G402" s="8"/>
      <c r="H402" s="8"/>
      <c r="I402" s="10"/>
      <c r="J402" s="10"/>
      <c r="K402" s="9"/>
      <c r="L402" s="9"/>
      <c r="M402" s="9"/>
      <c r="N40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2" s="660"/>
      <c r="P402" s="660"/>
      <c r="Q402" s="461"/>
      <c r="R402" s="381"/>
      <c r="S402" s="37"/>
      <c r="T402" s="37"/>
      <c r="U402" s="37"/>
      <c r="V402" s="37"/>
      <c r="W402" s="37"/>
      <c r="X402" s="37"/>
      <c r="Y40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2" s="37"/>
      <c r="AA402" s="662" t="str">
        <f>IF(COUNTA(CCTSAS[[#This Row],[Nom]:[heures annuelles
selon contrat(s)]])=0,"",CCTSAS[[#This Row],[Total global]]-ABS(CCTSAS[[#This Row],[Dont non opposable]]))</f>
        <v/>
      </c>
      <c r="AB402" s="8"/>
      <c r="AC402" s="63"/>
      <c r="AD402" s="428"/>
      <c r="AE402" s="428"/>
      <c r="AF402" s="428"/>
      <c r="AG402" s="43"/>
      <c r="AH402" s="183" t="str">
        <f>IF(COUNTA(CCTSAS[[#This Row],[Nom]:[heures annuelles
selon contrat(s)]])=0,"",REVEX!$E$9)</f>
        <v/>
      </c>
      <c r="AI402" s="72" t="str">
        <f>IF(CCTSAS[[#This Row],[Allocation fonctions]]="","",IF(ISNA(VLOOKUP(CCTSAS[[#This Row],[Allocation fonctions]],DROPDOWN[Dropdown82],1,FALSE))=TRUE,"Veuillez utiliser les allocations parmis la liste déroulante.",""))</f>
        <v/>
      </c>
    </row>
    <row r="403" spans="1:35" x14ac:dyDescent="0.25">
      <c r="A403" s="72" t="str">
        <f>IF(CCTSAS[[#This Row],[Carrière]]="","",IF(ISNA(VLOOKUP(CCTSAS[[#This Row],[Carrière]],DROPDOWN[Dropdown9],1,FALSE))=TRUE,"Carrière: Utiliser la liste déroulante",""))</f>
        <v/>
      </c>
      <c r="B403" s="554" t="str">
        <f>IF(CCTSAS[[#This Row],[Matricule]]="","",MAX($B$7:B402)+1)</f>
        <v/>
      </c>
      <c r="C403" s="8"/>
      <c r="D403" s="8"/>
      <c r="E403" s="20"/>
      <c r="F403" s="63"/>
      <c r="G403" s="8"/>
      <c r="H403" s="8"/>
      <c r="I403" s="10"/>
      <c r="J403" s="10"/>
      <c r="K403" s="9"/>
      <c r="L403" s="9"/>
      <c r="M403" s="9"/>
      <c r="N40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3" s="660"/>
      <c r="P403" s="660"/>
      <c r="Q403" s="461"/>
      <c r="R403" s="381"/>
      <c r="S403" s="37"/>
      <c r="T403" s="37"/>
      <c r="U403" s="37"/>
      <c r="V403" s="37"/>
      <c r="W403" s="37"/>
      <c r="X403" s="37"/>
      <c r="Y40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3" s="37"/>
      <c r="AA403" s="662" t="str">
        <f>IF(COUNTA(CCTSAS[[#This Row],[Nom]:[heures annuelles
selon contrat(s)]])=0,"",CCTSAS[[#This Row],[Total global]]-ABS(CCTSAS[[#This Row],[Dont non opposable]]))</f>
        <v/>
      </c>
      <c r="AB403" s="8"/>
      <c r="AC403" s="63"/>
      <c r="AD403" s="428"/>
      <c r="AE403" s="428"/>
      <c r="AF403" s="428"/>
      <c r="AG403" s="43"/>
      <c r="AH403" s="183" t="str">
        <f>IF(COUNTA(CCTSAS[[#This Row],[Nom]:[heures annuelles
selon contrat(s)]])=0,"",REVEX!$E$9)</f>
        <v/>
      </c>
      <c r="AI403" s="72" t="str">
        <f>IF(CCTSAS[[#This Row],[Allocation fonctions]]="","",IF(ISNA(VLOOKUP(CCTSAS[[#This Row],[Allocation fonctions]],DROPDOWN[Dropdown82],1,FALSE))=TRUE,"Veuillez utiliser les allocations parmis la liste déroulante.",""))</f>
        <v/>
      </c>
    </row>
    <row r="404" spans="1:35" x14ac:dyDescent="0.25">
      <c r="A404" s="72" t="str">
        <f>IF(CCTSAS[[#This Row],[Carrière]]="","",IF(ISNA(VLOOKUP(CCTSAS[[#This Row],[Carrière]],DROPDOWN[Dropdown9],1,FALSE))=TRUE,"Carrière: Utiliser la liste déroulante",""))</f>
        <v/>
      </c>
      <c r="B404" s="554" t="str">
        <f>IF(CCTSAS[[#This Row],[Matricule]]="","",MAX($B$7:B403)+1)</f>
        <v/>
      </c>
      <c r="C404" s="8"/>
      <c r="D404" s="8"/>
      <c r="E404" s="20"/>
      <c r="F404" s="63"/>
      <c r="G404" s="8"/>
      <c r="H404" s="8"/>
      <c r="I404" s="10"/>
      <c r="J404" s="10"/>
      <c r="K404" s="9"/>
      <c r="L404" s="9"/>
      <c r="M404" s="9"/>
      <c r="N40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4" s="660"/>
      <c r="P404" s="660"/>
      <c r="Q404" s="461"/>
      <c r="R404" s="381"/>
      <c r="S404" s="37"/>
      <c r="T404" s="37"/>
      <c r="U404" s="37"/>
      <c r="V404" s="37"/>
      <c r="W404" s="37"/>
      <c r="X404" s="37"/>
      <c r="Y40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4" s="37"/>
      <c r="AA404" s="662" t="str">
        <f>IF(COUNTA(CCTSAS[[#This Row],[Nom]:[heures annuelles
selon contrat(s)]])=0,"",CCTSAS[[#This Row],[Total global]]-ABS(CCTSAS[[#This Row],[Dont non opposable]]))</f>
        <v/>
      </c>
      <c r="AB404" s="8"/>
      <c r="AC404" s="63"/>
      <c r="AD404" s="428"/>
      <c r="AE404" s="428"/>
      <c r="AF404" s="428"/>
      <c r="AG404" s="43"/>
      <c r="AH404" s="183" t="str">
        <f>IF(COUNTA(CCTSAS[[#This Row],[Nom]:[heures annuelles
selon contrat(s)]])=0,"",REVEX!$E$9)</f>
        <v/>
      </c>
      <c r="AI404" s="72" t="str">
        <f>IF(CCTSAS[[#This Row],[Allocation fonctions]]="","",IF(ISNA(VLOOKUP(CCTSAS[[#This Row],[Allocation fonctions]],DROPDOWN[Dropdown82],1,FALSE))=TRUE,"Veuillez utiliser les allocations parmis la liste déroulante.",""))</f>
        <v/>
      </c>
    </row>
    <row r="405" spans="1:35" x14ac:dyDescent="0.25">
      <c r="A405" s="72" t="str">
        <f>IF(CCTSAS[[#This Row],[Carrière]]="","",IF(ISNA(VLOOKUP(CCTSAS[[#This Row],[Carrière]],DROPDOWN[Dropdown9],1,FALSE))=TRUE,"Carrière: Utiliser la liste déroulante",""))</f>
        <v/>
      </c>
      <c r="B405" s="554" t="str">
        <f>IF(CCTSAS[[#This Row],[Matricule]]="","",MAX($B$7:B404)+1)</f>
        <v/>
      </c>
      <c r="C405" s="8"/>
      <c r="D405" s="8"/>
      <c r="E405" s="20"/>
      <c r="F405" s="63"/>
      <c r="G405" s="8"/>
      <c r="H405" s="8"/>
      <c r="I405" s="10"/>
      <c r="J405" s="10"/>
      <c r="K405" s="9"/>
      <c r="L405" s="9"/>
      <c r="M405" s="9"/>
      <c r="N40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5" s="660"/>
      <c r="P405" s="660"/>
      <c r="Q405" s="461"/>
      <c r="R405" s="381"/>
      <c r="S405" s="37"/>
      <c r="T405" s="37"/>
      <c r="U405" s="37"/>
      <c r="V405" s="37"/>
      <c r="W405" s="37"/>
      <c r="X405" s="37"/>
      <c r="Y40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5" s="37"/>
      <c r="AA405" s="662" t="str">
        <f>IF(COUNTA(CCTSAS[[#This Row],[Nom]:[heures annuelles
selon contrat(s)]])=0,"",CCTSAS[[#This Row],[Total global]]-ABS(CCTSAS[[#This Row],[Dont non opposable]]))</f>
        <v/>
      </c>
      <c r="AB405" s="8"/>
      <c r="AC405" s="63"/>
      <c r="AD405" s="428"/>
      <c r="AE405" s="428"/>
      <c r="AF405" s="428"/>
      <c r="AG405" s="43"/>
      <c r="AH405" s="183" t="str">
        <f>IF(COUNTA(CCTSAS[[#This Row],[Nom]:[heures annuelles
selon contrat(s)]])=0,"",REVEX!$E$9)</f>
        <v/>
      </c>
      <c r="AI405" s="72" t="str">
        <f>IF(CCTSAS[[#This Row],[Allocation fonctions]]="","",IF(ISNA(VLOOKUP(CCTSAS[[#This Row],[Allocation fonctions]],DROPDOWN[Dropdown82],1,FALSE))=TRUE,"Veuillez utiliser les allocations parmis la liste déroulante.",""))</f>
        <v/>
      </c>
    </row>
    <row r="406" spans="1:35" x14ac:dyDescent="0.25">
      <c r="A406" s="72" t="str">
        <f>IF(CCTSAS[[#This Row],[Carrière]]="","",IF(ISNA(VLOOKUP(CCTSAS[[#This Row],[Carrière]],DROPDOWN[Dropdown9],1,FALSE))=TRUE,"Carrière: Utiliser la liste déroulante",""))</f>
        <v/>
      </c>
      <c r="B406" s="554" t="str">
        <f>IF(CCTSAS[[#This Row],[Matricule]]="","",MAX($B$7:B405)+1)</f>
        <v/>
      </c>
      <c r="C406" s="8"/>
      <c r="D406" s="8"/>
      <c r="E406" s="20"/>
      <c r="F406" s="63"/>
      <c r="G406" s="8"/>
      <c r="H406" s="8"/>
      <c r="I406" s="10"/>
      <c r="J406" s="10"/>
      <c r="K406" s="9"/>
      <c r="L406" s="9"/>
      <c r="M406" s="9"/>
      <c r="N40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6" s="660"/>
      <c r="P406" s="660"/>
      <c r="Q406" s="461"/>
      <c r="R406" s="381"/>
      <c r="S406" s="37"/>
      <c r="T406" s="37"/>
      <c r="U406" s="37"/>
      <c r="V406" s="37"/>
      <c r="W406" s="37"/>
      <c r="X406" s="37"/>
      <c r="Y40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6" s="37"/>
      <c r="AA406" s="662" t="str">
        <f>IF(COUNTA(CCTSAS[[#This Row],[Nom]:[heures annuelles
selon contrat(s)]])=0,"",CCTSAS[[#This Row],[Total global]]-ABS(CCTSAS[[#This Row],[Dont non opposable]]))</f>
        <v/>
      </c>
      <c r="AB406" s="8"/>
      <c r="AC406" s="63"/>
      <c r="AD406" s="428"/>
      <c r="AE406" s="428"/>
      <c r="AF406" s="428"/>
      <c r="AG406" s="43"/>
      <c r="AH406" s="183" t="str">
        <f>IF(COUNTA(CCTSAS[[#This Row],[Nom]:[heures annuelles
selon contrat(s)]])=0,"",REVEX!$E$9)</f>
        <v/>
      </c>
      <c r="AI406" s="72" t="str">
        <f>IF(CCTSAS[[#This Row],[Allocation fonctions]]="","",IF(ISNA(VLOOKUP(CCTSAS[[#This Row],[Allocation fonctions]],DROPDOWN[Dropdown82],1,FALSE))=TRUE,"Veuillez utiliser les allocations parmis la liste déroulante.",""))</f>
        <v/>
      </c>
    </row>
    <row r="407" spans="1:35" x14ac:dyDescent="0.25">
      <c r="A407" s="72" t="str">
        <f>IF(CCTSAS[[#This Row],[Carrière]]="","",IF(ISNA(VLOOKUP(CCTSAS[[#This Row],[Carrière]],DROPDOWN[Dropdown9],1,FALSE))=TRUE,"Carrière: Utiliser la liste déroulante",""))</f>
        <v/>
      </c>
      <c r="B407" s="554" t="str">
        <f>IF(CCTSAS[[#This Row],[Matricule]]="","",MAX($B$7:B406)+1)</f>
        <v/>
      </c>
      <c r="C407" s="8"/>
      <c r="D407" s="8"/>
      <c r="E407" s="20"/>
      <c r="F407" s="63"/>
      <c r="G407" s="8"/>
      <c r="H407" s="8"/>
      <c r="I407" s="10"/>
      <c r="J407" s="10"/>
      <c r="K407" s="9"/>
      <c r="L407" s="9"/>
      <c r="M407" s="9"/>
      <c r="N40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7" s="660"/>
      <c r="P407" s="660"/>
      <c r="Q407" s="461"/>
      <c r="R407" s="381"/>
      <c r="S407" s="37"/>
      <c r="T407" s="37"/>
      <c r="U407" s="37"/>
      <c r="V407" s="37"/>
      <c r="W407" s="37"/>
      <c r="X407" s="37"/>
      <c r="Y40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7" s="37"/>
      <c r="AA407" s="662" t="str">
        <f>IF(COUNTA(CCTSAS[[#This Row],[Nom]:[heures annuelles
selon contrat(s)]])=0,"",CCTSAS[[#This Row],[Total global]]-ABS(CCTSAS[[#This Row],[Dont non opposable]]))</f>
        <v/>
      </c>
      <c r="AB407" s="8"/>
      <c r="AC407" s="63"/>
      <c r="AD407" s="428"/>
      <c r="AE407" s="428"/>
      <c r="AF407" s="428"/>
      <c r="AG407" s="43"/>
      <c r="AH407" s="183" t="str">
        <f>IF(COUNTA(CCTSAS[[#This Row],[Nom]:[heures annuelles
selon contrat(s)]])=0,"",REVEX!$E$9)</f>
        <v/>
      </c>
      <c r="AI407" s="72" t="str">
        <f>IF(CCTSAS[[#This Row],[Allocation fonctions]]="","",IF(ISNA(VLOOKUP(CCTSAS[[#This Row],[Allocation fonctions]],DROPDOWN[Dropdown82],1,FALSE))=TRUE,"Veuillez utiliser les allocations parmis la liste déroulante.",""))</f>
        <v/>
      </c>
    </row>
    <row r="408" spans="1:35" x14ac:dyDescent="0.25">
      <c r="A408" s="72" t="str">
        <f>IF(CCTSAS[[#This Row],[Carrière]]="","",IF(ISNA(VLOOKUP(CCTSAS[[#This Row],[Carrière]],DROPDOWN[Dropdown9],1,FALSE))=TRUE,"Carrière: Utiliser la liste déroulante",""))</f>
        <v/>
      </c>
      <c r="B408" s="554" t="str">
        <f>IF(CCTSAS[[#This Row],[Matricule]]="","",MAX($B$7:B407)+1)</f>
        <v/>
      </c>
      <c r="C408" s="8"/>
      <c r="D408" s="8"/>
      <c r="E408" s="20"/>
      <c r="F408" s="63"/>
      <c r="G408" s="8"/>
      <c r="H408" s="8"/>
      <c r="I408" s="10"/>
      <c r="J408" s="10"/>
      <c r="K408" s="9"/>
      <c r="L408" s="9"/>
      <c r="M408" s="9"/>
      <c r="N40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8" s="660"/>
      <c r="P408" s="660"/>
      <c r="Q408" s="461"/>
      <c r="R408" s="381"/>
      <c r="S408" s="37"/>
      <c r="T408" s="37"/>
      <c r="U408" s="37"/>
      <c r="V408" s="37"/>
      <c r="W408" s="37"/>
      <c r="X408" s="37"/>
      <c r="Y40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8" s="37"/>
      <c r="AA408" s="662" t="str">
        <f>IF(COUNTA(CCTSAS[[#This Row],[Nom]:[heures annuelles
selon contrat(s)]])=0,"",CCTSAS[[#This Row],[Total global]]-ABS(CCTSAS[[#This Row],[Dont non opposable]]))</f>
        <v/>
      </c>
      <c r="AB408" s="8"/>
      <c r="AC408" s="63"/>
      <c r="AD408" s="428"/>
      <c r="AE408" s="428"/>
      <c r="AF408" s="428"/>
      <c r="AG408" s="43"/>
      <c r="AH408" s="183" t="str">
        <f>IF(COUNTA(CCTSAS[[#This Row],[Nom]:[heures annuelles
selon contrat(s)]])=0,"",REVEX!$E$9)</f>
        <v/>
      </c>
      <c r="AI408" s="72" t="str">
        <f>IF(CCTSAS[[#This Row],[Allocation fonctions]]="","",IF(ISNA(VLOOKUP(CCTSAS[[#This Row],[Allocation fonctions]],DROPDOWN[Dropdown82],1,FALSE))=TRUE,"Veuillez utiliser les allocations parmis la liste déroulante.",""))</f>
        <v/>
      </c>
    </row>
    <row r="409" spans="1:35" x14ac:dyDescent="0.25">
      <c r="A409" s="72" t="str">
        <f>IF(CCTSAS[[#This Row],[Carrière]]="","",IF(ISNA(VLOOKUP(CCTSAS[[#This Row],[Carrière]],DROPDOWN[Dropdown9],1,FALSE))=TRUE,"Carrière: Utiliser la liste déroulante",""))</f>
        <v/>
      </c>
      <c r="B409" s="554" t="str">
        <f>IF(CCTSAS[[#This Row],[Matricule]]="","",MAX($B$7:B408)+1)</f>
        <v/>
      </c>
      <c r="C409" s="8"/>
      <c r="D409" s="8"/>
      <c r="E409" s="20"/>
      <c r="F409" s="63"/>
      <c r="G409" s="8"/>
      <c r="H409" s="8"/>
      <c r="I409" s="10"/>
      <c r="J409" s="10"/>
      <c r="K409" s="9"/>
      <c r="L409" s="9"/>
      <c r="M409" s="9"/>
      <c r="N40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09" s="660"/>
      <c r="P409" s="660"/>
      <c r="Q409" s="461"/>
      <c r="R409" s="381"/>
      <c r="S409" s="37"/>
      <c r="T409" s="37"/>
      <c r="U409" s="37"/>
      <c r="V409" s="37"/>
      <c r="W409" s="37"/>
      <c r="X409" s="37"/>
      <c r="Y40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09" s="37"/>
      <c r="AA409" s="662" t="str">
        <f>IF(COUNTA(CCTSAS[[#This Row],[Nom]:[heures annuelles
selon contrat(s)]])=0,"",CCTSAS[[#This Row],[Total global]]-ABS(CCTSAS[[#This Row],[Dont non opposable]]))</f>
        <v/>
      </c>
      <c r="AB409" s="8"/>
      <c r="AC409" s="63"/>
      <c r="AD409" s="428"/>
      <c r="AE409" s="428"/>
      <c r="AF409" s="428"/>
      <c r="AG409" s="43"/>
      <c r="AH409" s="183" t="str">
        <f>IF(COUNTA(CCTSAS[[#This Row],[Nom]:[heures annuelles
selon contrat(s)]])=0,"",REVEX!$E$9)</f>
        <v/>
      </c>
      <c r="AI409" s="72" t="str">
        <f>IF(CCTSAS[[#This Row],[Allocation fonctions]]="","",IF(ISNA(VLOOKUP(CCTSAS[[#This Row],[Allocation fonctions]],DROPDOWN[Dropdown82],1,FALSE))=TRUE,"Veuillez utiliser les allocations parmis la liste déroulante.",""))</f>
        <v/>
      </c>
    </row>
    <row r="410" spans="1:35" x14ac:dyDescent="0.25">
      <c r="A410" s="72" t="str">
        <f>IF(CCTSAS[[#This Row],[Carrière]]="","",IF(ISNA(VLOOKUP(CCTSAS[[#This Row],[Carrière]],DROPDOWN[Dropdown9],1,FALSE))=TRUE,"Carrière: Utiliser la liste déroulante",""))</f>
        <v/>
      </c>
      <c r="B410" s="554" t="str">
        <f>IF(CCTSAS[[#This Row],[Matricule]]="","",MAX($B$7:B409)+1)</f>
        <v/>
      </c>
      <c r="C410" s="8"/>
      <c r="D410" s="8"/>
      <c r="E410" s="20"/>
      <c r="F410" s="63"/>
      <c r="G410" s="8"/>
      <c r="H410" s="8"/>
      <c r="I410" s="10"/>
      <c r="J410" s="10"/>
      <c r="K410" s="9"/>
      <c r="L410" s="9"/>
      <c r="M410" s="9"/>
      <c r="N41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0" s="660"/>
      <c r="P410" s="660"/>
      <c r="Q410" s="461"/>
      <c r="R410" s="381"/>
      <c r="S410" s="37"/>
      <c r="T410" s="37"/>
      <c r="U410" s="37"/>
      <c r="V410" s="37"/>
      <c r="W410" s="37"/>
      <c r="X410" s="37"/>
      <c r="Y41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0" s="37"/>
      <c r="AA410" s="662" t="str">
        <f>IF(COUNTA(CCTSAS[[#This Row],[Nom]:[heures annuelles
selon contrat(s)]])=0,"",CCTSAS[[#This Row],[Total global]]-ABS(CCTSAS[[#This Row],[Dont non opposable]]))</f>
        <v/>
      </c>
      <c r="AB410" s="8"/>
      <c r="AC410" s="63"/>
      <c r="AD410" s="428"/>
      <c r="AE410" s="428"/>
      <c r="AF410" s="428"/>
      <c r="AG410" s="43"/>
      <c r="AH410" s="183" t="str">
        <f>IF(COUNTA(CCTSAS[[#This Row],[Nom]:[heures annuelles
selon contrat(s)]])=0,"",REVEX!$E$9)</f>
        <v/>
      </c>
      <c r="AI410" s="72" t="str">
        <f>IF(CCTSAS[[#This Row],[Allocation fonctions]]="","",IF(ISNA(VLOOKUP(CCTSAS[[#This Row],[Allocation fonctions]],DROPDOWN[Dropdown82],1,FALSE))=TRUE,"Veuillez utiliser les allocations parmis la liste déroulante.",""))</f>
        <v/>
      </c>
    </row>
    <row r="411" spans="1:35" x14ac:dyDescent="0.25">
      <c r="A411" s="72" t="str">
        <f>IF(CCTSAS[[#This Row],[Carrière]]="","",IF(ISNA(VLOOKUP(CCTSAS[[#This Row],[Carrière]],DROPDOWN[Dropdown9],1,FALSE))=TRUE,"Carrière: Utiliser la liste déroulante",""))</f>
        <v/>
      </c>
      <c r="B411" s="554" t="str">
        <f>IF(CCTSAS[[#This Row],[Matricule]]="","",MAX($B$7:B410)+1)</f>
        <v/>
      </c>
      <c r="C411" s="8"/>
      <c r="D411" s="8"/>
      <c r="E411" s="20"/>
      <c r="F411" s="63"/>
      <c r="G411" s="8"/>
      <c r="H411" s="8"/>
      <c r="I411" s="10"/>
      <c r="J411" s="10"/>
      <c r="K411" s="9"/>
      <c r="L411" s="9"/>
      <c r="M411" s="9"/>
      <c r="N41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1" s="660"/>
      <c r="P411" s="660"/>
      <c r="Q411" s="461"/>
      <c r="R411" s="381"/>
      <c r="S411" s="37"/>
      <c r="T411" s="37"/>
      <c r="U411" s="37"/>
      <c r="V411" s="37"/>
      <c r="W411" s="37"/>
      <c r="X411" s="37"/>
      <c r="Y41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1" s="37"/>
      <c r="AA411" s="662" t="str">
        <f>IF(COUNTA(CCTSAS[[#This Row],[Nom]:[heures annuelles
selon contrat(s)]])=0,"",CCTSAS[[#This Row],[Total global]]-ABS(CCTSAS[[#This Row],[Dont non opposable]]))</f>
        <v/>
      </c>
      <c r="AB411" s="8"/>
      <c r="AC411" s="63"/>
      <c r="AD411" s="428"/>
      <c r="AE411" s="428"/>
      <c r="AF411" s="428"/>
      <c r="AG411" s="43"/>
      <c r="AH411" s="183" t="str">
        <f>IF(COUNTA(CCTSAS[[#This Row],[Nom]:[heures annuelles
selon contrat(s)]])=0,"",REVEX!$E$9)</f>
        <v/>
      </c>
      <c r="AI411" s="72" t="str">
        <f>IF(CCTSAS[[#This Row],[Allocation fonctions]]="","",IF(ISNA(VLOOKUP(CCTSAS[[#This Row],[Allocation fonctions]],DROPDOWN[Dropdown82],1,FALSE))=TRUE,"Veuillez utiliser les allocations parmis la liste déroulante.",""))</f>
        <v/>
      </c>
    </row>
    <row r="412" spans="1:35" x14ac:dyDescent="0.25">
      <c r="A412" s="72" t="str">
        <f>IF(CCTSAS[[#This Row],[Carrière]]="","",IF(ISNA(VLOOKUP(CCTSAS[[#This Row],[Carrière]],DROPDOWN[Dropdown9],1,FALSE))=TRUE,"Carrière: Utiliser la liste déroulante",""))</f>
        <v/>
      </c>
      <c r="B412" s="554" t="str">
        <f>IF(CCTSAS[[#This Row],[Matricule]]="","",MAX($B$7:B411)+1)</f>
        <v/>
      </c>
      <c r="C412" s="8"/>
      <c r="D412" s="8"/>
      <c r="E412" s="20"/>
      <c r="F412" s="63"/>
      <c r="G412" s="8"/>
      <c r="H412" s="8"/>
      <c r="I412" s="10"/>
      <c r="J412" s="10"/>
      <c r="K412" s="9"/>
      <c r="L412" s="9"/>
      <c r="M412" s="9"/>
      <c r="N41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2" s="660"/>
      <c r="P412" s="660"/>
      <c r="Q412" s="461"/>
      <c r="R412" s="381"/>
      <c r="S412" s="37"/>
      <c r="T412" s="37"/>
      <c r="U412" s="37"/>
      <c r="V412" s="37"/>
      <c r="W412" s="37"/>
      <c r="X412" s="37"/>
      <c r="Y41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2" s="37"/>
      <c r="AA412" s="662" t="str">
        <f>IF(COUNTA(CCTSAS[[#This Row],[Nom]:[heures annuelles
selon contrat(s)]])=0,"",CCTSAS[[#This Row],[Total global]]-ABS(CCTSAS[[#This Row],[Dont non opposable]]))</f>
        <v/>
      </c>
      <c r="AB412" s="8"/>
      <c r="AC412" s="63"/>
      <c r="AD412" s="428"/>
      <c r="AE412" s="428"/>
      <c r="AF412" s="428"/>
      <c r="AG412" s="43"/>
      <c r="AH412" s="183" t="str">
        <f>IF(COUNTA(CCTSAS[[#This Row],[Nom]:[heures annuelles
selon contrat(s)]])=0,"",REVEX!$E$9)</f>
        <v/>
      </c>
      <c r="AI412" s="72" t="str">
        <f>IF(CCTSAS[[#This Row],[Allocation fonctions]]="","",IF(ISNA(VLOOKUP(CCTSAS[[#This Row],[Allocation fonctions]],DROPDOWN[Dropdown82],1,FALSE))=TRUE,"Veuillez utiliser les allocations parmis la liste déroulante.",""))</f>
        <v/>
      </c>
    </row>
    <row r="413" spans="1:35" x14ac:dyDescent="0.25">
      <c r="A413" s="72" t="str">
        <f>IF(CCTSAS[[#This Row],[Carrière]]="","",IF(ISNA(VLOOKUP(CCTSAS[[#This Row],[Carrière]],DROPDOWN[Dropdown9],1,FALSE))=TRUE,"Carrière: Utiliser la liste déroulante",""))</f>
        <v/>
      </c>
      <c r="B413" s="554" t="str">
        <f>IF(CCTSAS[[#This Row],[Matricule]]="","",MAX($B$7:B412)+1)</f>
        <v/>
      </c>
      <c r="C413" s="8"/>
      <c r="D413" s="8"/>
      <c r="E413" s="20"/>
      <c r="F413" s="63"/>
      <c r="G413" s="8"/>
      <c r="H413" s="8"/>
      <c r="I413" s="10"/>
      <c r="J413" s="10"/>
      <c r="K413" s="9"/>
      <c r="L413" s="9"/>
      <c r="M413" s="9"/>
      <c r="N41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3" s="660"/>
      <c r="P413" s="660"/>
      <c r="Q413" s="461"/>
      <c r="R413" s="381"/>
      <c r="S413" s="37"/>
      <c r="T413" s="37"/>
      <c r="U413" s="37"/>
      <c r="V413" s="37"/>
      <c r="W413" s="37"/>
      <c r="X413" s="37"/>
      <c r="Y41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3" s="37"/>
      <c r="AA413" s="662" t="str">
        <f>IF(COUNTA(CCTSAS[[#This Row],[Nom]:[heures annuelles
selon contrat(s)]])=0,"",CCTSAS[[#This Row],[Total global]]-ABS(CCTSAS[[#This Row],[Dont non opposable]]))</f>
        <v/>
      </c>
      <c r="AB413" s="8"/>
      <c r="AC413" s="63"/>
      <c r="AD413" s="428"/>
      <c r="AE413" s="428"/>
      <c r="AF413" s="428"/>
      <c r="AG413" s="43"/>
      <c r="AH413" s="183" t="str">
        <f>IF(COUNTA(CCTSAS[[#This Row],[Nom]:[heures annuelles
selon contrat(s)]])=0,"",REVEX!$E$9)</f>
        <v/>
      </c>
      <c r="AI413" s="72" t="str">
        <f>IF(CCTSAS[[#This Row],[Allocation fonctions]]="","",IF(ISNA(VLOOKUP(CCTSAS[[#This Row],[Allocation fonctions]],DROPDOWN[Dropdown82],1,FALSE))=TRUE,"Veuillez utiliser les allocations parmis la liste déroulante.",""))</f>
        <v/>
      </c>
    </row>
    <row r="414" spans="1:35" x14ac:dyDescent="0.25">
      <c r="A414" s="72" t="str">
        <f>IF(CCTSAS[[#This Row],[Carrière]]="","",IF(ISNA(VLOOKUP(CCTSAS[[#This Row],[Carrière]],DROPDOWN[Dropdown9],1,FALSE))=TRUE,"Carrière: Utiliser la liste déroulante",""))</f>
        <v/>
      </c>
      <c r="B414" s="554" t="str">
        <f>IF(CCTSAS[[#This Row],[Matricule]]="","",MAX($B$7:B413)+1)</f>
        <v/>
      </c>
      <c r="C414" s="8"/>
      <c r="D414" s="8"/>
      <c r="E414" s="20"/>
      <c r="F414" s="63"/>
      <c r="G414" s="8"/>
      <c r="H414" s="8"/>
      <c r="I414" s="10"/>
      <c r="J414" s="10"/>
      <c r="K414" s="9"/>
      <c r="L414" s="9"/>
      <c r="M414" s="9"/>
      <c r="N41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4" s="660"/>
      <c r="P414" s="660"/>
      <c r="Q414" s="461"/>
      <c r="R414" s="381"/>
      <c r="S414" s="37"/>
      <c r="T414" s="37"/>
      <c r="U414" s="37"/>
      <c r="V414" s="37"/>
      <c r="W414" s="37"/>
      <c r="X414" s="37"/>
      <c r="Y41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4" s="37"/>
      <c r="AA414" s="662" t="str">
        <f>IF(COUNTA(CCTSAS[[#This Row],[Nom]:[heures annuelles
selon contrat(s)]])=0,"",CCTSAS[[#This Row],[Total global]]-ABS(CCTSAS[[#This Row],[Dont non opposable]]))</f>
        <v/>
      </c>
      <c r="AB414" s="8"/>
      <c r="AC414" s="63"/>
      <c r="AD414" s="428"/>
      <c r="AE414" s="428"/>
      <c r="AF414" s="428"/>
      <c r="AG414" s="43"/>
      <c r="AH414" s="183" t="str">
        <f>IF(COUNTA(CCTSAS[[#This Row],[Nom]:[heures annuelles
selon contrat(s)]])=0,"",REVEX!$E$9)</f>
        <v/>
      </c>
      <c r="AI414" s="72" t="str">
        <f>IF(CCTSAS[[#This Row],[Allocation fonctions]]="","",IF(ISNA(VLOOKUP(CCTSAS[[#This Row],[Allocation fonctions]],DROPDOWN[Dropdown82],1,FALSE))=TRUE,"Veuillez utiliser les allocations parmis la liste déroulante.",""))</f>
        <v/>
      </c>
    </row>
    <row r="415" spans="1:35" x14ac:dyDescent="0.25">
      <c r="A415" s="72" t="str">
        <f>IF(CCTSAS[[#This Row],[Carrière]]="","",IF(ISNA(VLOOKUP(CCTSAS[[#This Row],[Carrière]],DROPDOWN[Dropdown9],1,FALSE))=TRUE,"Carrière: Utiliser la liste déroulante",""))</f>
        <v/>
      </c>
      <c r="B415" s="554" t="str">
        <f>IF(CCTSAS[[#This Row],[Matricule]]="","",MAX($B$7:B414)+1)</f>
        <v/>
      </c>
      <c r="C415" s="8"/>
      <c r="D415" s="8"/>
      <c r="E415" s="20"/>
      <c r="F415" s="63"/>
      <c r="G415" s="8"/>
      <c r="H415" s="8"/>
      <c r="I415" s="10"/>
      <c r="J415" s="10"/>
      <c r="K415" s="9"/>
      <c r="L415" s="9"/>
      <c r="M415" s="9"/>
      <c r="N41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5" s="660"/>
      <c r="P415" s="660"/>
      <c r="Q415" s="461"/>
      <c r="R415" s="381"/>
      <c r="S415" s="37"/>
      <c r="T415" s="37"/>
      <c r="U415" s="37"/>
      <c r="V415" s="37"/>
      <c r="W415" s="37"/>
      <c r="X415" s="37"/>
      <c r="Y41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5" s="37"/>
      <c r="AA415" s="662" t="str">
        <f>IF(COUNTA(CCTSAS[[#This Row],[Nom]:[heures annuelles
selon contrat(s)]])=0,"",CCTSAS[[#This Row],[Total global]]-ABS(CCTSAS[[#This Row],[Dont non opposable]]))</f>
        <v/>
      </c>
      <c r="AB415" s="8"/>
      <c r="AC415" s="63"/>
      <c r="AD415" s="428"/>
      <c r="AE415" s="428"/>
      <c r="AF415" s="428"/>
      <c r="AG415" s="43"/>
      <c r="AH415" s="183" t="str">
        <f>IF(COUNTA(CCTSAS[[#This Row],[Nom]:[heures annuelles
selon contrat(s)]])=0,"",REVEX!$E$9)</f>
        <v/>
      </c>
      <c r="AI415" s="72" t="str">
        <f>IF(CCTSAS[[#This Row],[Allocation fonctions]]="","",IF(ISNA(VLOOKUP(CCTSAS[[#This Row],[Allocation fonctions]],DROPDOWN[Dropdown82],1,FALSE))=TRUE,"Veuillez utiliser les allocations parmis la liste déroulante.",""))</f>
        <v/>
      </c>
    </row>
    <row r="416" spans="1:35" x14ac:dyDescent="0.25">
      <c r="A416" s="72" t="str">
        <f>IF(CCTSAS[[#This Row],[Carrière]]="","",IF(ISNA(VLOOKUP(CCTSAS[[#This Row],[Carrière]],DROPDOWN[Dropdown9],1,FALSE))=TRUE,"Carrière: Utiliser la liste déroulante",""))</f>
        <v/>
      </c>
      <c r="B416" s="554" t="str">
        <f>IF(CCTSAS[[#This Row],[Matricule]]="","",MAX($B$7:B415)+1)</f>
        <v/>
      </c>
      <c r="C416" s="8"/>
      <c r="D416" s="8"/>
      <c r="E416" s="20"/>
      <c r="F416" s="63"/>
      <c r="G416" s="8"/>
      <c r="H416" s="8"/>
      <c r="I416" s="10"/>
      <c r="J416" s="10"/>
      <c r="K416" s="9"/>
      <c r="L416" s="9"/>
      <c r="M416" s="9"/>
      <c r="N41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6" s="660"/>
      <c r="P416" s="660"/>
      <c r="Q416" s="461"/>
      <c r="R416" s="381"/>
      <c r="S416" s="37"/>
      <c r="T416" s="37"/>
      <c r="U416" s="37"/>
      <c r="V416" s="37"/>
      <c r="W416" s="37"/>
      <c r="X416" s="37"/>
      <c r="Y41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6" s="37"/>
      <c r="AA416" s="662" t="str">
        <f>IF(COUNTA(CCTSAS[[#This Row],[Nom]:[heures annuelles
selon contrat(s)]])=0,"",CCTSAS[[#This Row],[Total global]]-ABS(CCTSAS[[#This Row],[Dont non opposable]]))</f>
        <v/>
      </c>
      <c r="AB416" s="8"/>
      <c r="AC416" s="63"/>
      <c r="AD416" s="428"/>
      <c r="AE416" s="428"/>
      <c r="AF416" s="428"/>
      <c r="AG416" s="43"/>
      <c r="AH416" s="183" t="str">
        <f>IF(COUNTA(CCTSAS[[#This Row],[Nom]:[heures annuelles
selon contrat(s)]])=0,"",REVEX!$E$9)</f>
        <v/>
      </c>
      <c r="AI416" s="72" t="str">
        <f>IF(CCTSAS[[#This Row],[Allocation fonctions]]="","",IF(ISNA(VLOOKUP(CCTSAS[[#This Row],[Allocation fonctions]],DROPDOWN[Dropdown82],1,FALSE))=TRUE,"Veuillez utiliser les allocations parmis la liste déroulante.",""))</f>
        <v/>
      </c>
    </row>
    <row r="417" spans="1:35" x14ac:dyDescent="0.25">
      <c r="A417" s="72" t="str">
        <f>IF(CCTSAS[[#This Row],[Carrière]]="","",IF(ISNA(VLOOKUP(CCTSAS[[#This Row],[Carrière]],DROPDOWN[Dropdown9],1,FALSE))=TRUE,"Carrière: Utiliser la liste déroulante",""))</f>
        <v/>
      </c>
      <c r="B417" s="554" t="str">
        <f>IF(CCTSAS[[#This Row],[Matricule]]="","",MAX($B$7:B416)+1)</f>
        <v/>
      </c>
      <c r="C417" s="8"/>
      <c r="D417" s="8"/>
      <c r="E417" s="20"/>
      <c r="F417" s="63"/>
      <c r="G417" s="8"/>
      <c r="H417" s="8"/>
      <c r="I417" s="10"/>
      <c r="J417" s="10"/>
      <c r="K417" s="9"/>
      <c r="L417" s="9"/>
      <c r="M417" s="9"/>
      <c r="N41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7" s="660"/>
      <c r="P417" s="660"/>
      <c r="Q417" s="461"/>
      <c r="R417" s="381"/>
      <c r="S417" s="37"/>
      <c r="T417" s="37"/>
      <c r="U417" s="37"/>
      <c r="V417" s="37"/>
      <c r="W417" s="37"/>
      <c r="X417" s="37"/>
      <c r="Y41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7" s="37"/>
      <c r="AA417" s="662" t="str">
        <f>IF(COUNTA(CCTSAS[[#This Row],[Nom]:[heures annuelles
selon contrat(s)]])=0,"",CCTSAS[[#This Row],[Total global]]-ABS(CCTSAS[[#This Row],[Dont non opposable]]))</f>
        <v/>
      </c>
      <c r="AB417" s="8"/>
      <c r="AC417" s="63"/>
      <c r="AD417" s="428"/>
      <c r="AE417" s="428"/>
      <c r="AF417" s="428"/>
      <c r="AG417" s="43"/>
      <c r="AH417" s="183" t="str">
        <f>IF(COUNTA(CCTSAS[[#This Row],[Nom]:[heures annuelles
selon contrat(s)]])=0,"",REVEX!$E$9)</f>
        <v/>
      </c>
      <c r="AI417" s="72" t="str">
        <f>IF(CCTSAS[[#This Row],[Allocation fonctions]]="","",IF(ISNA(VLOOKUP(CCTSAS[[#This Row],[Allocation fonctions]],DROPDOWN[Dropdown82],1,FALSE))=TRUE,"Veuillez utiliser les allocations parmis la liste déroulante.",""))</f>
        <v/>
      </c>
    </row>
    <row r="418" spans="1:35" x14ac:dyDescent="0.25">
      <c r="A418" s="72" t="str">
        <f>IF(CCTSAS[[#This Row],[Carrière]]="","",IF(ISNA(VLOOKUP(CCTSAS[[#This Row],[Carrière]],DROPDOWN[Dropdown9],1,FALSE))=TRUE,"Carrière: Utiliser la liste déroulante",""))</f>
        <v/>
      </c>
      <c r="B418" s="554" t="str">
        <f>IF(CCTSAS[[#This Row],[Matricule]]="","",MAX($B$7:B417)+1)</f>
        <v/>
      </c>
      <c r="C418" s="8"/>
      <c r="D418" s="8"/>
      <c r="E418" s="20"/>
      <c r="F418" s="63"/>
      <c r="G418" s="8"/>
      <c r="H418" s="8"/>
      <c r="I418" s="10"/>
      <c r="J418" s="10"/>
      <c r="K418" s="9"/>
      <c r="L418" s="9"/>
      <c r="M418" s="9"/>
      <c r="N41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8" s="660"/>
      <c r="P418" s="660"/>
      <c r="Q418" s="461"/>
      <c r="R418" s="381"/>
      <c r="S418" s="37"/>
      <c r="T418" s="37"/>
      <c r="U418" s="37"/>
      <c r="V418" s="37"/>
      <c r="W418" s="37"/>
      <c r="X418" s="37"/>
      <c r="Y41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8" s="37"/>
      <c r="AA418" s="662" t="str">
        <f>IF(COUNTA(CCTSAS[[#This Row],[Nom]:[heures annuelles
selon contrat(s)]])=0,"",CCTSAS[[#This Row],[Total global]]-ABS(CCTSAS[[#This Row],[Dont non opposable]]))</f>
        <v/>
      </c>
      <c r="AB418" s="8"/>
      <c r="AC418" s="63"/>
      <c r="AD418" s="428"/>
      <c r="AE418" s="428"/>
      <c r="AF418" s="428"/>
      <c r="AG418" s="43"/>
      <c r="AH418" s="183" t="str">
        <f>IF(COUNTA(CCTSAS[[#This Row],[Nom]:[heures annuelles
selon contrat(s)]])=0,"",REVEX!$E$9)</f>
        <v/>
      </c>
      <c r="AI418" s="72" t="str">
        <f>IF(CCTSAS[[#This Row],[Allocation fonctions]]="","",IF(ISNA(VLOOKUP(CCTSAS[[#This Row],[Allocation fonctions]],DROPDOWN[Dropdown82],1,FALSE))=TRUE,"Veuillez utiliser les allocations parmis la liste déroulante.",""))</f>
        <v/>
      </c>
    </row>
    <row r="419" spans="1:35" x14ac:dyDescent="0.25">
      <c r="A419" s="72" t="str">
        <f>IF(CCTSAS[[#This Row],[Carrière]]="","",IF(ISNA(VLOOKUP(CCTSAS[[#This Row],[Carrière]],DROPDOWN[Dropdown9],1,FALSE))=TRUE,"Carrière: Utiliser la liste déroulante",""))</f>
        <v/>
      </c>
      <c r="B419" s="554" t="str">
        <f>IF(CCTSAS[[#This Row],[Matricule]]="","",MAX($B$7:B418)+1)</f>
        <v/>
      </c>
      <c r="C419" s="8"/>
      <c r="D419" s="8"/>
      <c r="E419" s="20"/>
      <c r="F419" s="63"/>
      <c r="G419" s="8"/>
      <c r="H419" s="8"/>
      <c r="I419" s="10"/>
      <c r="J419" s="10"/>
      <c r="K419" s="9"/>
      <c r="L419" s="9"/>
      <c r="M419" s="9"/>
      <c r="N41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19" s="660"/>
      <c r="P419" s="660"/>
      <c r="Q419" s="461"/>
      <c r="R419" s="381"/>
      <c r="S419" s="37"/>
      <c r="T419" s="37"/>
      <c r="U419" s="37"/>
      <c r="V419" s="37"/>
      <c r="W419" s="37"/>
      <c r="X419" s="37"/>
      <c r="Y41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19" s="37"/>
      <c r="AA419" s="662" t="str">
        <f>IF(COUNTA(CCTSAS[[#This Row],[Nom]:[heures annuelles
selon contrat(s)]])=0,"",CCTSAS[[#This Row],[Total global]]-ABS(CCTSAS[[#This Row],[Dont non opposable]]))</f>
        <v/>
      </c>
      <c r="AB419" s="8"/>
      <c r="AC419" s="63"/>
      <c r="AD419" s="428"/>
      <c r="AE419" s="428"/>
      <c r="AF419" s="428"/>
      <c r="AG419" s="43"/>
      <c r="AH419" s="183" t="str">
        <f>IF(COUNTA(CCTSAS[[#This Row],[Nom]:[heures annuelles
selon contrat(s)]])=0,"",REVEX!$E$9)</f>
        <v/>
      </c>
      <c r="AI419" s="72" t="str">
        <f>IF(CCTSAS[[#This Row],[Allocation fonctions]]="","",IF(ISNA(VLOOKUP(CCTSAS[[#This Row],[Allocation fonctions]],DROPDOWN[Dropdown82],1,FALSE))=TRUE,"Veuillez utiliser les allocations parmis la liste déroulante.",""))</f>
        <v/>
      </c>
    </row>
    <row r="420" spans="1:35" x14ac:dyDescent="0.25">
      <c r="A420" s="72" t="str">
        <f>IF(CCTSAS[[#This Row],[Carrière]]="","",IF(ISNA(VLOOKUP(CCTSAS[[#This Row],[Carrière]],DROPDOWN[Dropdown9],1,FALSE))=TRUE,"Carrière: Utiliser la liste déroulante",""))</f>
        <v/>
      </c>
      <c r="B420" s="554" t="str">
        <f>IF(CCTSAS[[#This Row],[Matricule]]="","",MAX($B$7:B419)+1)</f>
        <v/>
      </c>
      <c r="C420" s="8"/>
      <c r="D420" s="8"/>
      <c r="E420" s="20"/>
      <c r="F420" s="63"/>
      <c r="G420" s="8"/>
      <c r="H420" s="8"/>
      <c r="I420" s="10"/>
      <c r="J420" s="10"/>
      <c r="K420" s="9"/>
      <c r="L420" s="9"/>
      <c r="M420" s="9"/>
      <c r="N42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0" s="660"/>
      <c r="P420" s="660"/>
      <c r="Q420" s="461"/>
      <c r="R420" s="381"/>
      <c r="S420" s="37"/>
      <c r="T420" s="37"/>
      <c r="U420" s="37"/>
      <c r="V420" s="37"/>
      <c r="W420" s="37"/>
      <c r="X420" s="37"/>
      <c r="Y42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0" s="37"/>
      <c r="AA420" s="662" t="str">
        <f>IF(COUNTA(CCTSAS[[#This Row],[Nom]:[heures annuelles
selon contrat(s)]])=0,"",CCTSAS[[#This Row],[Total global]]-ABS(CCTSAS[[#This Row],[Dont non opposable]]))</f>
        <v/>
      </c>
      <c r="AB420" s="8"/>
      <c r="AC420" s="63"/>
      <c r="AD420" s="428"/>
      <c r="AE420" s="428"/>
      <c r="AF420" s="428"/>
      <c r="AG420" s="43"/>
      <c r="AH420" s="183" t="str">
        <f>IF(COUNTA(CCTSAS[[#This Row],[Nom]:[heures annuelles
selon contrat(s)]])=0,"",REVEX!$E$9)</f>
        <v/>
      </c>
      <c r="AI420" s="72" t="str">
        <f>IF(CCTSAS[[#This Row],[Allocation fonctions]]="","",IF(ISNA(VLOOKUP(CCTSAS[[#This Row],[Allocation fonctions]],DROPDOWN[Dropdown82],1,FALSE))=TRUE,"Veuillez utiliser les allocations parmis la liste déroulante.",""))</f>
        <v/>
      </c>
    </row>
    <row r="421" spans="1:35" x14ac:dyDescent="0.25">
      <c r="A421" s="72" t="str">
        <f>IF(CCTSAS[[#This Row],[Carrière]]="","",IF(ISNA(VLOOKUP(CCTSAS[[#This Row],[Carrière]],DROPDOWN[Dropdown9],1,FALSE))=TRUE,"Carrière: Utiliser la liste déroulante",""))</f>
        <v/>
      </c>
      <c r="B421" s="554" t="str">
        <f>IF(CCTSAS[[#This Row],[Matricule]]="","",MAX($B$7:B420)+1)</f>
        <v/>
      </c>
      <c r="C421" s="8"/>
      <c r="D421" s="8"/>
      <c r="E421" s="20"/>
      <c r="F421" s="63"/>
      <c r="G421" s="8"/>
      <c r="H421" s="8"/>
      <c r="I421" s="10"/>
      <c r="J421" s="10"/>
      <c r="K421" s="9"/>
      <c r="L421" s="9"/>
      <c r="M421" s="9"/>
      <c r="N42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1" s="660"/>
      <c r="P421" s="660"/>
      <c r="Q421" s="461"/>
      <c r="R421" s="381"/>
      <c r="S421" s="37"/>
      <c r="T421" s="37"/>
      <c r="U421" s="37"/>
      <c r="V421" s="37"/>
      <c r="W421" s="37"/>
      <c r="X421" s="37"/>
      <c r="Y42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1" s="37"/>
      <c r="AA421" s="662" t="str">
        <f>IF(COUNTA(CCTSAS[[#This Row],[Nom]:[heures annuelles
selon contrat(s)]])=0,"",CCTSAS[[#This Row],[Total global]]-ABS(CCTSAS[[#This Row],[Dont non opposable]]))</f>
        <v/>
      </c>
      <c r="AB421" s="8"/>
      <c r="AC421" s="63"/>
      <c r="AD421" s="428"/>
      <c r="AE421" s="428"/>
      <c r="AF421" s="428"/>
      <c r="AG421" s="43"/>
      <c r="AH421" s="183" t="str">
        <f>IF(COUNTA(CCTSAS[[#This Row],[Nom]:[heures annuelles
selon contrat(s)]])=0,"",REVEX!$E$9)</f>
        <v/>
      </c>
      <c r="AI421" s="72" t="str">
        <f>IF(CCTSAS[[#This Row],[Allocation fonctions]]="","",IF(ISNA(VLOOKUP(CCTSAS[[#This Row],[Allocation fonctions]],DROPDOWN[Dropdown82],1,FALSE))=TRUE,"Veuillez utiliser les allocations parmis la liste déroulante.",""))</f>
        <v/>
      </c>
    </row>
    <row r="422" spans="1:35" x14ac:dyDescent="0.25">
      <c r="A422" s="72" t="str">
        <f>IF(CCTSAS[[#This Row],[Carrière]]="","",IF(ISNA(VLOOKUP(CCTSAS[[#This Row],[Carrière]],DROPDOWN[Dropdown9],1,FALSE))=TRUE,"Carrière: Utiliser la liste déroulante",""))</f>
        <v/>
      </c>
      <c r="B422" s="554" t="str">
        <f>IF(CCTSAS[[#This Row],[Matricule]]="","",MAX($B$7:B421)+1)</f>
        <v/>
      </c>
      <c r="C422" s="8"/>
      <c r="D422" s="8"/>
      <c r="E422" s="20"/>
      <c r="F422" s="63"/>
      <c r="G422" s="8"/>
      <c r="H422" s="8"/>
      <c r="I422" s="10"/>
      <c r="J422" s="10"/>
      <c r="K422" s="9"/>
      <c r="L422" s="9"/>
      <c r="M422" s="9"/>
      <c r="N42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2" s="660"/>
      <c r="P422" s="660"/>
      <c r="Q422" s="461"/>
      <c r="R422" s="381"/>
      <c r="S422" s="37"/>
      <c r="T422" s="37"/>
      <c r="U422" s="37"/>
      <c r="V422" s="37"/>
      <c r="W422" s="37"/>
      <c r="X422" s="37"/>
      <c r="Y42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2" s="37"/>
      <c r="AA422" s="662" t="str">
        <f>IF(COUNTA(CCTSAS[[#This Row],[Nom]:[heures annuelles
selon contrat(s)]])=0,"",CCTSAS[[#This Row],[Total global]]-ABS(CCTSAS[[#This Row],[Dont non opposable]]))</f>
        <v/>
      </c>
      <c r="AB422" s="8"/>
      <c r="AC422" s="63"/>
      <c r="AD422" s="428"/>
      <c r="AE422" s="428"/>
      <c r="AF422" s="428"/>
      <c r="AG422" s="43"/>
      <c r="AH422" s="183" t="str">
        <f>IF(COUNTA(CCTSAS[[#This Row],[Nom]:[heures annuelles
selon contrat(s)]])=0,"",REVEX!$E$9)</f>
        <v/>
      </c>
      <c r="AI422" s="72" t="str">
        <f>IF(CCTSAS[[#This Row],[Allocation fonctions]]="","",IF(ISNA(VLOOKUP(CCTSAS[[#This Row],[Allocation fonctions]],DROPDOWN[Dropdown82],1,FALSE))=TRUE,"Veuillez utiliser les allocations parmis la liste déroulante.",""))</f>
        <v/>
      </c>
    </row>
    <row r="423" spans="1:35" x14ac:dyDescent="0.25">
      <c r="A423" s="72" t="str">
        <f>IF(CCTSAS[[#This Row],[Carrière]]="","",IF(ISNA(VLOOKUP(CCTSAS[[#This Row],[Carrière]],DROPDOWN[Dropdown9],1,FALSE))=TRUE,"Carrière: Utiliser la liste déroulante",""))</f>
        <v/>
      </c>
      <c r="B423" s="554" t="str">
        <f>IF(CCTSAS[[#This Row],[Matricule]]="","",MAX($B$7:B422)+1)</f>
        <v/>
      </c>
      <c r="C423" s="8"/>
      <c r="D423" s="8"/>
      <c r="E423" s="20"/>
      <c r="F423" s="63"/>
      <c r="G423" s="8"/>
      <c r="H423" s="8"/>
      <c r="I423" s="10"/>
      <c r="J423" s="10"/>
      <c r="K423" s="9"/>
      <c r="L423" s="9"/>
      <c r="M423" s="9"/>
      <c r="N42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3" s="660"/>
      <c r="P423" s="660"/>
      <c r="Q423" s="461"/>
      <c r="R423" s="381"/>
      <c r="S423" s="37"/>
      <c r="T423" s="37"/>
      <c r="U423" s="37"/>
      <c r="V423" s="37"/>
      <c r="W423" s="37"/>
      <c r="X423" s="37"/>
      <c r="Y42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3" s="37"/>
      <c r="AA423" s="662" t="str">
        <f>IF(COUNTA(CCTSAS[[#This Row],[Nom]:[heures annuelles
selon contrat(s)]])=0,"",CCTSAS[[#This Row],[Total global]]-ABS(CCTSAS[[#This Row],[Dont non opposable]]))</f>
        <v/>
      </c>
      <c r="AB423" s="8"/>
      <c r="AC423" s="63"/>
      <c r="AD423" s="428"/>
      <c r="AE423" s="428"/>
      <c r="AF423" s="428"/>
      <c r="AG423" s="43"/>
      <c r="AH423" s="183" t="str">
        <f>IF(COUNTA(CCTSAS[[#This Row],[Nom]:[heures annuelles
selon contrat(s)]])=0,"",REVEX!$E$9)</f>
        <v/>
      </c>
      <c r="AI423" s="72" t="str">
        <f>IF(CCTSAS[[#This Row],[Allocation fonctions]]="","",IF(ISNA(VLOOKUP(CCTSAS[[#This Row],[Allocation fonctions]],DROPDOWN[Dropdown82],1,FALSE))=TRUE,"Veuillez utiliser les allocations parmis la liste déroulante.",""))</f>
        <v/>
      </c>
    </row>
    <row r="424" spans="1:35" x14ac:dyDescent="0.25">
      <c r="A424" s="72" t="str">
        <f>IF(CCTSAS[[#This Row],[Carrière]]="","",IF(ISNA(VLOOKUP(CCTSAS[[#This Row],[Carrière]],DROPDOWN[Dropdown9],1,FALSE))=TRUE,"Carrière: Utiliser la liste déroulante",""))</f>
        <v/>
      </c>
      <c r="B424" s="554" t="str">
        <f>IF(CCTSAS[[#This Row],[Matricule]]="","",MAX($B$7:B423)+1)</f>
        <v/>
      </c>
      <c r="C424" s="8"/>
      <c r="D424" s="8"/>
      <c r="E424" s="20"/>
      <c r="F424" s="63"/>
      <c r="G424" s="8"/>
      <c r="H424" s="8"/>
      <c r="I424" s="10"/>
      <c r="J424" s="10"/>
      <c r="K424" s="9"/>
      <c r="L424" s="9"/>
      <c r="M424" s="9"/>
      <c r="N42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4" s="660"/>
      <c r="P424" s="660"/>
      <c r="Q424" s="461"/>
      <c r="R424" s="381"/>
      <c r="S424" s="37"/>
      <c r="T424" s="37"/>
      <c r="U424" s="37"/>
      <c r="V424" s="37"/>
      <c r="W424" s="37"/>
      <c r="X424" s="37"/>
      <c r="Y42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4" s="37"/>
      <c r="AA424" s="662" t="str">
        <f>IF(COUNTA(CCTSAS[[#This Row],[Nom]:[heures annuelles
selon contrat(s)]])=0,"",CCTSAS[[#This Row],[Total global]]-ABS(CCTSAS[[#This Row],[Dont non opposable]]))</f>
        <v/>
      </c>
      <c r="AB424" s="8"/>
      <c r="AC424" s="63"/>
      <c r="AD424" s="428"/>
      <c r="AE424" s="428"/>
      <c r="AF424" s="428"/>
      <c r="AG424" s="43"/>
      <c r="AH424" s="183" t="str">
        <f>IF(COUNTA(CCTSAS[[#This Row],[Nom]:[heures annuelles
selon contrat(s)]])=0,"",REVEX!$E$9)</f>
        <v/>
      </c>
      <c r="AI424" s="72" t="str">
        <f>IF(CCTSAS[[#This Row],[Allocation fonctions]]="","",IF(ISNA(VLOOKUP(CCTSAS[[#This Row],[Allocation fonctions]],DROPDOWN[Dropdown82],1,FALSE))=TRUE,"Veuillez utiliser les allocations parmis la liste déroulante.",""))</f>
        <v/>
      </c>
    </row>
    <row r="425" spans="1:35" x14ac:dyDescent="0.25">
      <c r="A425" s="72" t="str">
        <f>IF(CCTSAS[[#This Row],[Carrière]]="","",IF(ISNA(VLOOKUP(CCTSAS[[#This Row],[Carrière]],DROPDOWN[Dropdown9],1,FALSE))=TRUE,"Carrière: Utiliser la liste déroulante",""))</f>
        <v/>
      </c>
      <c r="B425" s="554" t="str">
        <f>IF(CCTSAS[[#This Row],[Matricule]]="","",MAX($B$7:B424)+1)</f>
        <v/>
      </c>
      <c r="C425" s="8"/>
      <c r="D425" s="8"/>
      <c r="E425" s="20"/>
      <c r="F425" s="63"/>
      <c r="G425" s="8"/>
      <c r="H425" s="8"/>
      <c r="I425" s="10"/>
      <c r="J425" s="10"/>
      <c r="K425" s="9"/>
      <c r="L425" s="9"/>
      <c r="M425" s="9"/>
      <c r="N42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5" s="660"/>
      <c r="P425" s="660"/>
      <c r="Q425" s="461"/>
      <c r="R425" s="381"/>
      <c r="S425" s="37"/>
      <c r="T425" s="37"/>
      <c r="U425" s="37"/>
      <c r="V425" s="37"/>
      <c r="W425" s="37"/>
      <c r="X425" s="37"/>
      <c r="Y42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5" s="37"/>
      <c r="AA425" s="662" t="str">
        <f>IF(COUNTA(CCTSAS[[#This Row],[Nom]:[heures annuelles
selon contrat(s)]])=0,"",CCTSAS[[#This Row],[Total global]]-ABS(CCTSAS[[#This Row],[Dont non opposable]]))</f>
        <v/>
      </c>
      <c r="AB425" s="8"/>
      <c r="AC425" s="63"/>
      <c r="AD425" s="428"/>
      <c r="AE425" s="428"/>
      <c r="AF425" s="428"/>
      <c r="AG425" s="43"/>
      <c r="AH425" s="183" t="str">
        <f>IF(COUNTA(CCTSAS[[#This Row],[Nom]:[heures annuelles
selon contrat(s)]])=0,"",REVEX!$E$9)</f>
        <v/>
      </c>
      <c r="AI425" s="72" t="str">
        <f>IF(CCTSAS[[#This Row],[Allocation fonctions]]="","",IF(ISNA(VLOOKUP(CCTSAS[[#This Row],[Allocation fonctions]],DROPDOWN[Dropdown82],1,FALSE))=TRUE,"Veuillez utiliser les allocations parmis la liste déroulante.",""))</f>
        <v/>
      </c>
    </row>
    <row r="426" spans="1:35" x14ac:dyDescent="0.25">
      <c r="A426" s="72" t="str">
        <f>IF(CCTSAS[[#This Row],[Carrière]]="","",IF(ISNA(VLOOKUP(CCTSAS[[#This Row],[Carrière]],DROPDOWN[Dropdown9],1,FALSE))=TRUE,"Carrière: Utiliser la liste déroulante",""))</f>
        <v/>
      </c>
      <c r="B426" s="554" t="str">
        <f>IF(CCTSAS[[#This Row],[Matricule]]="","",MAX($B$7:B425)+1)</f>
        <v/>
      </c>
      <c r="C426" s="8"/>
      <c r="D426" s="8"/>
      <c r="E426" s="20"/>
      <c r="F426" s="63"/>
      <c r="G426" s="8"/>
      <c r="H426" s="8"/>
      <c r="I426" s="10"/>
      <c r="J426" s="10"/>
      <c r="K426" s="9"/>
      <c r="L426" s="9"/>
      <c r="M426" s="9"/>
      <c r="N42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6" s="660"/>
      <c r="P426" s="660"/>
      <c r="Q426" s="461"/>
      <c r="R426" s="381"/>
      <c r="S426" s="37"/>
      <c r="T426" s="37"/>
      <c r="U426" s="37"/>
      <c r="V426" s="37"/>
      <c r="W426" s="37"/>
      <c r="X426" s="37"/>
      <c r="Y42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6" s="37"/>
      <c r="AA426" s="662" t="str">
        <f>IF(COUNTA(CCTSAS[[#This Row],[Nom]:[heures annuelles
selon contrat(s)]])=0,"",CCTSAS[[#This Row],[Total global]]-ABS(CCTSAS[[#This Row],[Dont non opposable]]))</f>
        <v/>
      </c>
      <c r="AB426" s="8"/>
      <c r="AC426" s="63"/>
      <c r="AD426" s="428"/>
      <c r="AE426" s="428"/>
      <c r="AF426" s="428"/>
      <c r="AG426" s="43"/>
      <c r="AH426" s="183" t="str">
        <f>IF(COUNTA(CCTSAS[[#This Row],[Nom]:[heures annuelles
selon contrat(s)]])=0,"",REVEX!$E$9)</f>
        <v/>
      </c>
      <c r="AI426" s="72" t="str">
        <f>IF(CCTSAS[[#This Row],[Allocation fonctions]]="","",IF(ISNA(VLOOKUP(CCTSAS[[#This Row],[Allocation fonctions]],DROPDOWN[Dropdown82],1,FALSE))=TRUE,"Veuillez utiliser les allocations parmis la liste déroulante.",""))</f>
        <v/>
      </c>
    </row>
    <row r="427" spans="1:35" x14ac:dyDescent="0.25">
      <c r="A427" s="72" t="str">
        <f>IF(CCTSAS[[#This Row],[Carrière]]="","",IF(ISNA(VLOOKUP(CCTSAS[[#This Row],[Carrière]],DROPDOWN[Dropdown9],1,FALSE))=TRUE,"Carrière: Utiliser la liste déroulante",""))</f>
        <v/>
      </c>
      <c r="B427" s="554" t="str">
        <f>IF(CCTSAS[[#This Row],[Matricule]]="","",MAX($B$7:B426)+1)</f>
        <v/>
      </c>
      <c r="C427" s="8"/>
      <c r="D427" s="8"/>
      <c r="E427" s="20"/>
      <c r="F427" s="63"/>
      <c r="G427" s="8"/>
      <c r="H427" s="8"/>
      <c r="I427" s="10"/>
      <c r="J427" s="10"/>
      <c r="K427" s="9"/>
      <c r="L427" s="9"/>
      <c r="M427" s="9"/>
      <c r="N42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7" s="660"/>
      <c r="P427" s="660"/>
      <c r="Q427" s="461"/>
      <c r="R427" s="381"/>
      <c r="S427" s="37"/>
      <c r="T427" s="37"/>
      <c r="U427" s="37"/>
      <c r="V427" s="37"/>
      <c r="W427" s="37"/>
      <c r="X427" s="37"/>
      <c r="Y42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7" s="37"/>
      <c r="AA427" s="662" t="str">
        <f>IF(COUNTA(CCTSAS[[#This Row],[Nom]:[heures annuelles
selon contrat(s)]])=0,"",CCTSAS[[#This Row],[Total global]]-ABS(CCTSAS[[#This Row],[Dont non opposable]]))</f>
        <v/>
      </c>
      <c r="AB427" s="8"/>
      <c r="AC427" s="63"/>
      <c r="AD427" s="428"/>
      <c r="AE427" s="428"/>
      <c r="AF427" s="428"/>
      <c r="AG427" s="43"/>
      <c r="AH427" s="183" t="str">
        <f>IF(COUNTA(CCTSAS[[#This Row],[Nom]:[heures annuelles
selon contrat(s)]])=0,"",REVEX!$E$9)</f>
        <v/>
      </c>
      <c r="AI427" s="72" t="str">
        <f>IF(CCTSAS[[#This Row],[Allocation fonctions]]="","",IF(ISNA(VLOOKUP(CCTSAS[[#This Row],[Allocation fonctions]],DROPDOWN[Dropdown82],1,FALSE))=TRUE,"Veuillez utiliser les allocations parmis la liste déroulante.",""))</f>
        <v/>
      </c>
    </row>
    <row r="428" spans="1:35" x14ac:dyDescent="0.25">
      <c r="A428" s="72" t="str">
        <f>IF(CCTSAS[[#This Row],[Carrière]]="","",IF(ISNA(VLOOKUP(CCTSAS[[#This Row],[Carrière]],DROPDOWN[Dropdown9],1,FALSE))=TRUE,"Carrière: Utiliser la liste déroulante",""))</f>
        <v/>
      </c>
      <c r="B428" s="554" t="str">
        <f>IF(CCTSAS[[#This Row],[Matricule]]="","",MAX($B$7:B427)+1)</f>
        <v/>
      </c>
      <c r="C428" s="8"/>
      <c r="D428" s="8"/>
      <c r="E428" s="20"/>
      <c r="F428" s="63"/>
      <c r="G428" s="8"/>
      <c r="H428" s="8"/>
      <c r="I428" s="10"/>
      <c r="J428" s="10"/>
      <c r="K428" s="9"/>
      <c r="L428" s="9"/>
      <c r="M428" s="9"/>
      <c r="N42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8" s="660"/>
      <c r="P428" s="660"/>
      <c r="Q428" s="461"/>
      <c r="R428" s="381"/>
      <c r="S428" s="37"/>
      <c r="T428" s="37"/>
      <c r="U428" s="37"/>
      <c r="V428" s="37"/>
      <c r="W428" s="37"/>
      <c r="X428" s="37"/>
      <c r="Y42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8" s="37"/>
      <c r="AA428" s="662" t="str">
        <f>IF(COUNTA(CCTSAS[[#This Row],[Nom]:[heures annuelles
selon contrat(s)]])=0,"",CCTSAS[[#This Row],[Total global]]-ABS(CCTSAS[[#This Row],[Dont non opposable]]))</f>
        <v/>
      </c>
      <c r="AB428" s="8"/>
      <c r="AC428" s="63"/>
      <c r="AD428" s="428"/>
      <c r="AE428" s="428"/>
      <c r="AF428" s="428"/>
      <c r="AG428" s="43"/>
      <c r="AH428" s="183" t="str">
        <f>IF(COUNTA(CCTSAS[[#This Row],[Nom]:[heures annuelles
selon contrat(s)]])=0,"",REVEX!$E$9)</f>
        <v/>
      </c>
      <c r="AI428" s="72" t="str">
        <f>IF(CCTSAS[[#This Row],[Allocation fonctions]]="","",IF(ISNA(VLOOKUP(CCTSAS[[#This Row],[Allocation fonctions]],DROPDOWN[Dropdown82],1,FALSE))=TRUE,"Veuillez utiliser les allocations parmis la liste déroulante.",""))</f>
        <v/>
      </c>
    </row>
    <row r="429" spans="1:35" x14ac:dyDescent="0.25">
      <c r="A429" s="72" t="str">
        <f>IF(CCTSAS[[#This Row],[Carrière]]="","",IF(ISNA(VLOOKUP(CCTSAS[[#This Row],[Carrière]],DROPDOWN[Dropdown9],1,FALSE))=TRUE,"Carrière: Utiliser la liste déroulante",""))</f>
        <v/>
      </c>
      <c r="B429" s="554" t="str">
        <f>IF(CCTSAS[[#This Row],[Matricule]]="","",MAX($B$7:B428)+1)</f>
        <v/>
      </c>
      <c r="C429" s="8"/>
      <c r="D429" s="8"/>
      <c r="E429" s="20"/>
      <c r="F429" s="63"/>
      <c r="G429" s="8"/>
      <c r="H429" s="8"/>
      <c r="I429" s="10"/>
      <c r="J429" s="10"/>
      <c r="K429" s="9"/>
      <c r="L429" s="9"/>
      <c r="M429" s="9"/>
      <c r="N42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29" s="660"/>
      <c r="P429" s="660"/>
      <c r="Q429" s="461"/>
      <c r="R429" s="381"/>
      <c r="S429" s="37"/>
      <c r="T429" s="37"/>
      <c r="U429" s="37"/>
      <c r="V429" s="37"/>
      <c r="W429" s="37"/>
      <c r="X429" s="37"/>
      <c r="Y42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29" s="37"/>
      <c r="AA429" s="662" t="str">
        <f>IF(COUNTA(CCTSAS[[#This Row],[Nom]:[heures annuelles
selon contrat(s)]])=0,"",CCTSAS[[#This Row],[Total global]]-ABS(CCTSAS[[#This Row],[Dont non opposable]]))</f>
        <v/>
      </c>
      <c r="AB429" s="8"/>
      <c r="AC429" s="63"/>
      <c r="AD429" s="428"/>
      <c r="AE429" s="428"/>
      <c r="AF429" s="428"/>
      <c r="AG429" s="43"/>
      <c r="AH429" s="183" t="str">
        <f>IF(COUNTA(CCTSAS[[#This Row],[Nom]:[heures annuelles
selon contrat(s)]])=0,"",REVEX!$E$9)</f>
        <v/>
      </c>
      <c r="AI429" s="72" t="str">
        <f>IF(CCTSAS[[#This Row],[Allocation fonctions]]="","",IF(ISNA(VLOOKUP(CCTSAS[[#This Row],[Allocation fonctions]],DROPDOWN[Dropdown82],1,FALSE))=TRUE,"Veuillez utiliser les allocations parmis la liste déroulante.",""))</f>
        <v/>
      </c>
    </row>
    <row r="430" spans="1:35" x14ac:dyDescent="0.25">
      <c r="A430" s="72" t="str">
        <f>IF(CCTSAS[[#This Row],[Carrière]]="","",IF(ISNA(VLOOKUP(CCTSAS[[#This Row],[Carrière]],DROPDOWN[Dropdown9],1,FALSE))=TRUE,"Carrière: Utiliser la liste déroulante",""))</f>
        <v/>
      </c>
      <c r="B430" s="554" t="str">
        <f>IF(CCTSAS[[#This Row],[Matricule]]="","",MAX($B$7:B429)+1)</f>
        <v/>
      </c>
      <c r="C430" s="8"/>
      <c r="D430" s="8"/>
      <c r="E430" s="20"/>
      <c r="F430" s="63"/>
      <c r="G430" s="8"/>
      <c r="H430" s="8"/>
      <c r="I430" s="10"/>
      <c r="J430" s="10"/>
      <c r="K430" s="9"/>
      <c r="L430" s="9"/>
      <c r="M430" s="9"/>
      <c r="N43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0" s="660"/>
      <c r="P430" s="660"/>
      <c r="Q430" s="461"/>
      <c r="R430" s="381"/>
      <c r="S430" s="37"/>
      <c r="T430" s="37"/>
      <c r="U430" s="37"/>
      <c r="V430" s="37"/>
      <c r="W430" s="37"/>
      <c r="X430" s="37"/>
      <c r="Y43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0" s="37"/>
      <c r="AA430" s="662" t="str">
        <f>IF(COUNTA(CCTSAS[[#This Row],[Nom]:[heures annuelles
selon contrat(s)]])=0,"",CCTSAS[[#This Row],[Total global]]-ABS(CCTSAS[[#This Row],[Dont non opposable]]))</f>
        <v/>
      </c>
      <c r="AB430" s="8"/>
      <c r="AC430" s="63"/>
      <c r="AD430" s="428"/>
      <c r="AE430" s="428"/>
      <c r="AF430" s="428"/>
      <c r="AG430" s="43"/>
      <c r="AH430" s="183" t="str">
        <f>IF(COUNTA(CCTSAS[[#This Row],[Nom]:[heures annuelles
selon contrat(s)]])=0,"",REVEX!$E$9)</f>
        <v/>
      </c>
      <c r="AI430" s="72" t="str">
        <f>IF(CCTSAS[[#This Row],[Allocation fonctions]]="","",IF(ISNA(VLOOKUP(CCTSAS[[#This Row],[Allocation fonctions]],DROPDOWN[Dropdown82],1,FALSE))=TRUE,"Veuillez utiliser les allocations parmis la liste déroulante.",""))</f>
        <v/>
      </c>
    </row>
    <row r="431" spans="1:35" x14ac:dyDescent="0.25">
      <c r="A431" s="72" t="str">
        <f>IF(CCTSAS[[#This Row],[Carrière]]="","",IF(ISNA(VLOOKUP(CCTSAS[[#This Row],[Carrière]],DROPDOWN[Dropdown9],1,FALSE))=TRUE,"Carrière: Utiliser la liste déroulante",""))</f>
        <v/>
      </c>
      <c r="B431" s="554" t="str">
        <f>IF(CCTSAS[[#This Row],[Matricule]]="","",MAX($B$7:B430)+1)</f>
        <v/>
      </c>
      <c r="C431" s="8"/>
      <c r="D431" s="8"/>
      <c r="E431" s="20"/>
      <c r="F431" s="63"/>
      <c r="G431" s="8"/>
      <c r="H431" s="8"/>
      <c r="I431" s="10"/>
      <c r="J431" s="10"/>
      <c r="K431" s="9"/>
      <c r="L431" s="9"/>
      <c r="M431" s="9"/>
      <c r="N43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1" s="660"/>
      <c r="P431" s="660"/>
      <c r="Q431" s="461"/>
      <c r="R431" s="381"/>
      <c r="S431" s="37"/>
      <c r="T431" s="37"/>
      <c r="U431" s="37"/>
      <c r="V431" s="37"/>
      <c r="W431" s="37"/>
      <c r="X431" s="37"/>
      <c r="Y43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1" s="37"/>
      <c r="AA431" s="662" t="str">
        <f>IF(COUNTA(CCTSAS[[#This Row],[Nom]:[heures annuelles
selon contrat(s)]])=0,"",CCTSAS[[#This Row],[Total global]]-ABS(CCTSAS[[#This Row],[Dont non opposable]]))</f>
        <v/>
      </c>
      <c r="AB431" s="8"/>
      <c r="AC431" s="63"/>
      <c r="AD431" s="428"/>
      <c r="AE431" s="428"/>
      <c r="AF431" s="428"/>
      <c r="AG431" s="43"/>
      <c r="AH431" s="183" t="str">
        <f>IF(COUNTA(CCTSAS[[#This Row],[Nom]:[heures annuelles
selon contrat(s)]])=0,"",REVEX!$E$9)</f>
        <v/>
      </c>
      <c r="AI431" s="72" t="str">
        <f>IF(CCTSAS[[#This Row],[Allocation fonctions]]="","",IF(ISNA(VLOOKUP(CCTSAS[[#This Row],[Allocation fonctions]],DROPDOWN[Dropdown82],1,FALSE))=TRUE,"Veuillez utiliser les allocations parmis la liste déroulante.",""))</f>
        <v/>
      </c>
    </row>
    <row r="432" spans="1:35" x14ac:dyDescent="0.25">
      <c r="A432" s="72" t="str">
        <f>IF(CCTSAS[[#This Row],[Carrière]]="","",IF(ISNA(VLOOKUP(CCTSAS[[#This Row],[Carrière]],DROPDOWN[Dropdown9],1,FALSE))=TRUE,"Carrière: Utiliser la liste déroulante",""))</f>
        <v/>
      </c>
      <c r="B432" s="554" t="str">
        <f>IF(CCTSAS[[#This Row],[Matricule]]="","",MAX($B$7:B431)+1)</f>
        <v/>
      </c>
      <c r="C432" s="8"/>
      <c r="D432" s="8"/>
      <c r="E432" s="20"/>
      <c r="F432" s="63"/>
      <c r="G432" s="8"/>
      <c r="H432" s="8"/>
      <c r="I432" s="10"/>
      <c r="J432" s="10"/>
      <c r="K432" s="9"/>
      <c r="L432" s="9"/>
      <c r="M432" s="9"/>
      <c r="N43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2" s="660"/>
      <c r="P432" s="660"/>
      <c r="Q432" s="461"/>
      <c r="R432" s="381"/>
      <c r="S432" s="37"/>
      <c r="T432" s="37"/>
      <c r="U432" s="37"/>
      <c r="V432" s="37"/>
      <c r="W432" s="37"/>
      <c r="X432" s="37"/>
      <c r="Y43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2" s="37"/>
      <c r="AA432" s="662" t="str">
        <f>IF(COUNTA(CCTSAS[[#This Row],[Nom]:[heures annuelles
selon contrat(s)]])=0,"",CCTSAS[[#This Row],[Total global]]-ABS(CCTSAS[[#This Row],[Dont non opposable]]))</f>
        <v/>
      </c>
      <c r="AB432" s="8"/>
      <c r="AC432" s="63"/>
      <c r="AD432" s="428"/>
      <c r="AE432" s="428"/>
      <c r="AF432" s="428"/>
      <c r="AG432" s="43"/>
      <c r="AH432" s="183" t="str">
        <f>IF(COUNTA(CCTSAS[[#This Row],[Nom]:[heures annuelles
selon contrat(s)]])=0,"",REVEX!$E$9)</f>
        <v/>
      </c>
      <c r="AI432" s="72" t="str">
        <f>IF(CCTSAS[[#This Row],[Allocation fonctions]]="","",IF(ISNA(VLOOKUP(CCTSAS[[#This Row],[Allocation fonctions]],DROPDOWN[Dropdown82],1,FALSE))=TRUE,"Veuillez utiliser les allocations parmis la liste déroulante.",""))</f>
        <v/>
      </c>
    </row>
    <row r="433" spans="1:35" x14ac:dyDescent="0.25">
      <c r="A433" s="72" t="str">
        <f>IF(CCTSAS[[#This Row],[Carrière]]="","",IF(ISNA(VLOOKUP(CCTSAS[[#This Row],[Carrière]],DROPDOWN[Dropdown9],1,FALSE))=TRUE,"Carrière: Utiliser la liste déroulante",""))</f>
        <v/>
      </c>
      <c r="B433" s="554" t="str">
        <f>IF(CCTSAS[[#This Row],[Matricule]]="","",MAX($B$7:B432)+1)</f>
        <v/>
      </c>
      <c r="C433" s="8"/>
      <c r="D433" s="8"/>
      <c r="E433" s="20"/>
      <c r="F433" s="63"/>
      <c r="G433" s="8"/>
      <c r="H433" s="8"/>
      <c r="I433" s="10"/>
      <c r="J433" s="10"/>
      <c r="K433" s="9"/>
      <c r="L433" s="9"/>
      <c r="M433" s="9"/>
      <c r="N43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3" s="660"/>
      <c r="P433" s="660"/>
      <c r="Q433" s="461"/>
      <c r="R433" s="381"/>
      <c r="S433" s="37"/>
      <c r="T433" s="37"/>
      <c r="U433" s="37"/>
      <c r="V433" s="37"/>
      <c r="W433" s="37"/>
      <c r="X433" s="37"/>
      <c r="Y43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3" s="37"/>
      <c r="AA433" s="662" t="str">
        <f>IF(COUNTA(CCTSAS[[#This Row],[Nom]:[heures annuelles
selon contrat(s)]])=0,"",CCTSAS[[#This Row],[Total global]]-ABS(CCTSAS[[#This Row],[Dont non opposable]]))</f>
        <v/>
      </c>
      <c r="AB433" s="8"/>
      <c r="AC433" s="63"/>
      <c r="AD433" s="428"/>
      <c r="AE433" s="428"/>
      <c r="AF433" s="428"/>
      <c r="AG433" s="43"/>
      <c r="AH433" s="183" t="str">
        <f>IF(COUNTA(CCTSAS[[#This Row],[Nom]:[heures annuelles
selon contrat(s)]])=0,"",REVEX!$E$9)</f>
        <v/>
      </c>
      <c r="AI433" s="72" t="str">
        <f>IF(CCTSAS[[#This Row],[Allocation fonctions]]="","",IF(ISNA(VLOOKUP(CCTSAS[[#This Row],[Allocation fonctions]],DROPDOWN[Dropdown82],1,FALSE))=TRUE,"Veuillez utiliser les allocations parmis la liste déroulante.",""))</f>
        <v/>
      </c>
    </row>
    <row r="434" spans="1:35" x14ac:dyDescent="0.25">
      <c r="A434" s="72" t="str">
        <f>IF(CCTSAS[[#This Row],[Carrière]]="","",IF(ISNA(VLOOKUP(CCTSAS[[#This Row],[Carrière]],DROPDOWN[Dropdown9],1,FALSE))=TRUE,"Carrière: Utiliser la liste déroulante",""))</f>
        <v/>
      </c>
      <c r="B434" s="554" t="str">
        <f>IF(CCTSAS[[#This Row],[Matricule]]="","",MAX($B$7:B433)+1)</f>
        <v/>
      </c>
      <c r="C434" s="8"/>
      <c r="D434" s="8"/>
      <c r="E434" s="20"/>
      <c r="F434" s="63"/>
      <c r="G434" s="8"/>
      <c r="H434" s="8"/>
      <c r="I434" s="10"/>
      <c r="J434" s="10"/>
      <c r="K434" s="9"/>
      <c r="L434" s="9"/>
      <c r="M434" s="9"/>
      <c r="N43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4" s="660"/>
      <c r="P434" s="660"/>
      <c r="Q434" s="461"/>
      <c r="R434" s="381"/>
      <c r="S434" s="37"/>
      <c r="T434" s="37"/>
      <c r="U434" s="37"/>
      <c r="V434" s="37"/>
      <c r="W434" s="37"/>
      <c r="X434" s="37"/>
      <c r="Y43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4" s="37"/>
      <c r="AA434" s="662" t="str">
        <f>IF(COUNTA(CCTSAS[[#This Row],[Nom]:[heures annuelles
selon contrat(s)]])=0,"",CCTSAS[[#This Row],[Total global]]-ABS(CCTSAS[[#This Row],[Dont non opposable]]))</f>
        <v/>
      </c>
      <c r="AB434" s="8"/>
      <c r="AC434" s="63"/>
      <c r="AD434" s="428"/>
      <c r="AE434" s="428"/>
      <c r="AF434" s="428"/>
      <c r="AG434" s="43"/>
      <c r="AH434" s="183" t="str">
        <f>IF(COUNTA(CCTSAS[[#This Row],[Nom]:[heures annuelles
selon contrat(s)]])=0,"",REVEX!$E$9)</f>
        <v/>
      </c>
      <c r="AI434" s="72" t="str">
        <f>IF(CCTSAS[[#This Row],[Allocation fonctions]]="","",IF(ISNA(VLOOKUP(CCTSAS[[#This Row],[Allocation fonctions]],DROPDOWN[Dropdown82],1,FALSE))=TRUE,"Veuillez utiliser les allocations parmis la liste déroulante.",""))</f>
        <v/>
      </c>
    </row>
    <row r="435" spans="1:35" x14ac:dyDescent="0.25">
      <c r="A435" s="72" t="str">
        <f>IF(CCTSAS[[#This Row],[Carrière]]="","",IF(ISNA(VLOOKUP(CCTSAS[[#This Row],[Carrière]],DROPDOWN[Dropdown9],1,FALSE))=TRUE,"Carrière: Utiliser la liste déroulante",""))</f>
        <v/>
      </c>
      <c r="B435" s="554" t="str">
        <f>IF(CCTSAS[[#This Row],[Matricule]]="","",MAX($B$7:B434)+1)</f>
        <v/>
      </c>
      <c r="C435" s="8"/>
      <c r="D435" s="8"/>
      <c r="E435" s="20"/>
      <c r="F435" s="63"/>
      <c r="G435" s="8"/>
      <c r="H435" s="8"/>
      <c r="I435" s="10"/>
      <c r="J435" s="10"/>
      <c r="K435" s="9"/>
      <c r="L435" s="9"/>
      <c r="M435" s="9"/>
      <c r="N43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5" s="660"/>
      <c r="P435" s="660"/>
      <c r="Q435" s="461"/>
      <c r="R435" s="381"/>
      <c r="S435" s="37"/>
      <c r="T435" s="37"/>
      <c r="U435" s="37"/>
      <c r="V435" s="37"/>
      <c r="W435" s="37"/>
      <c r="X435" s="37"/>
      <c r="Y43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5" s="37"/>
      <c r="AA435" s="662" t="str">
        <f>IF(COUNTA(CCTSAS[[#This Row],[Nom]:[heures annuelles
selon contrat(s)]])=0,"",CCTSAS[[#This Row],[Total global]]-ABS(CCTSAS[[#This Row],[Dont non opposable]]))</f>
        <v/>
      </c>
      <c r="AB435" s="8"/>
      <c r="AC435" s="63"/>
      <c r="AD435" s="428"/>
      <c r="AE435" s="428"/>
      <c r="AF435" s="428"/>
      <c r="AG435" s="43"/>
      <c r="AH435" s="183" t="str">
        <f>IF(COUNTA(CCTSAS[[#This Row],[Nom]:[heures annuelles
selon contrat(s)]])=0,"",REVEX!$E$9)</f>
        <v/>
      </c>
      <c r="AI435" s="72" t="str">
        <f>IF(CCTSAS[[#This Row],[Allocation fonctions]]="","",IF(ISNA(VLOOKUP(CCTSAS[[#This Row],[Allocation fonctions]],DROPDOWN[Dropdown82],1,FALSE))=TRUE,"Veuillez utiliser les allocations parmis la liste déroulante.",""))</f>
        <v/>
      </c>
    </row>
    <row r="436" spans="1:35" x14ac:dyDescent="0.25">
      <c r="A436" s="72" t="str">
        <f>IF(CCTSAS[[#This Row],[Carrière]]="","",IF(ISNA(VLOOKUP(CCTSAS[[#This Row],[Carrière]],DROPDOWN[Dropdown9],1,FALSE))=TRUE,"Carrière: Utiliser la liste déroulante",""))</f>
        <v/>
      </c>
      <c r="B436" s="554" t="str">
        <f>IF(CCTSAS[[#This Row],[Matricule]]="","",MAX($B$7:B435)+1)</f>
        <v/>
      </c>
      <c r="C436" s="8"/>
      <c r="D436" s="8"/>
      <c r="E436" s="20"/>
      <c r="F436" s="63"/>
      <c r="G436" s="8"/>
      <c r="H436" s="8"/>
      <c r="I436" s="10"/>
      <c r="J436" s="10"/>
      <c r="K436" s="9"/>
      <c r="L436" s="9"/>
      <c r="M436" s="9"/>
      <c r="N43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6" s="660"/>
      <c r="P436" s="660"/>
      <c r="Q436" s="461"/>
      <c r="R436" s="381"/>
      <c r="S436" s="37"/>
      <c r="T436" s="37"/>
      <c r="U436" s="37"/>
      <c r="V436" s="37"/>
      <c r="W436" s="37"/>
      <c r="X436" s="37"/>
      <c r="Y43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6" s="37"/>
      <c r="AA436" s="662" t="str">
        <f>IF(COUNTA(CCTSAS[[#This Row],[Nom]:[heures annuelles
selon contrat(s)]])=0,"",CCTSAS[[#This Row],[Total global]]-ABS(CCTSAS[[#This Row],[Dont non opposable]]))</f>
        <v/>
      </c>
      <c r="AB436" s="8"/>
      <c r="AC436" s="63"/>
      <c r="AD436" s="428"/>
      <c r="AE436" s="428"/>
      <c r="AF436" s="428"/>
      <c r="AG436" s="43"/>
      <c r="AH436" s="183" t="str">
        <f>IF(COUNTA(CCTSAS[[#This Row],[Nom]:[heures annuelles
selon contrat(s)]])=0,"",REVEX!$E$9)</f>
        <v/>
      </c>
      <c r="AI436" s="72" t="str">
        <f>IF(CCTSAS[[#This Row],[Allocation fonctions]]="","",IF(ISNA(VLOOKUP(CCTSAS[[#This Row],[Allocation fonctions]],DROPDOWN[Dropdown82],1,FALSE))=TRUE,"Veuillez utiliser les allocations parmis la liste déroulante.",""))</f>
        <v/>
      </c>
    </row>
    <row r="437" spans="1:35" x14ac:dyDescent="0.25">
      <c r="A437" s="72" t="str">
        <f>IF(CCTSAS[[#This Row],[Carrière]]="","",IF(ISNA(VLOOKUP(CCTSAS[[#This Row],[Carrière]],DROPDOWN[Dropdown9],1,FALSE))=TRUE,"Carrière: Utiliser la liste déroulante",""))</f>
        <v/>
      </c>
      <c r="B437" s="554" t="str">
        <f>IF(CCTSAS[[#This Row],[Matricule]]="","",MAX($B$7:B436)+1)</f>
        <v/>
      </c>
      <c r="C437" s="8"/>
      <c r="D437" s="8"/>
      <c r="E437" s="20"/>
      <c r="F437" s="63"/>
      <c r="G437" s="8"/>
      <c r="H437" s="8"/>
      <c r="I437" s="10"/>
      <c r="J437" s="10"/>
      <c r="K437" s="9"/>
      <c r="L437" s="9"/>
      <c r="M437" s="9"/>
      <c r="N43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7" s="660"/>
      <c r="P437" s="660"/>
      <c r="Q437" s="461"/>
      <c r="R437" s="381"/>
      <c r="S437" s="37"/>
      <c r="T437" s="37"/>
      <c r="U437" s="37"/>
      <c r="V437" s="37"/>
      <c r="W437" s="37"/>
      <c r="X437" s="37"/>
      <c r="Y43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7" s="37"/>
      <c r="AA437" s="662" t="str">
        <f>IF(COUNTA(CCTSAS[[#This Row],[Nom]:[heures annuelles
selon contrat(s)]])=0,"",CCTSAS[[#This Row],[Total global]]-ABS(CCTSAS[[#This Row],[Dont non opposable]]))</f>
        <v/>
      </c>
      <c r="AB437" s="8"/>
      <c r="AC437" s="63"/>
      <c r="AD437" s="428"/>
      <c r="AE437" s="428"/>
      <c r="AF437" s="428"/>
      <c r="AG437" s="43"/>
      <c r="AH437" s="183" t="str">
        <f>IF(COUNTA(CCTSAS[[#This Row],[Nom]:[heures annuelles
selon contrat(s)]])=0,"",REVEX!$E$9)</f>
        <v/>
      </c>
      <c r="AI437" s="72" t="str">
        <f>IF(CCTSAS[[#This Row],[Allocation fonctions]]="","",IF(ISNA(VLOOKUP(CCTSAS[[#This Row],[Allocation fonctions]],DROPDOWN[Dropdown82],1,FALSE))=TRUE,"Veuillez utiliser les allocations parmis la liste déroulante.",""))</f>
        <v/>
      </c>
    </row>
    <row r="438" spans="1:35" x14ac:dyDescent="0.25">
      <c r="A438" s="72" t="str">
        <f>IF(CCTSAS[[#This Row],[Carrière]]="","",IF(ISNA(VLOOKUP(CCTSAS[[#This Row],[Carrière]],DROPDOWN[Dropdown9],1,FALSE))=TRUE,"Carrière: Utiliser la liste déroulante",""))</f>
        <v/>
      </c>
      <c r="B438" s="554" t="str">
        <f>IF(CCTSAS[[#This Row],[Matricule]]="","",MAX($B$7:B437)+1)</f>
        <v/>
      </c>
      <c r="C438" s="8"/>
      <c r="D438" s="8"/>
      <c r="E438" s="20"/>
      <c r="F438" s="63"/>
      <c r="G438" s="8"/>
      <c r="H438" s="8"/>
      <c r="I438" s="10"/>
      <c r="J438" s="10"/>
      <c r="K438" s="9"/>
      <c r="L438" s="9"/>
      <c r="M438" s="9"/>
      <c r="N43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8" s="660"/>
      <c r="P438" s="660"/>
      <c r="Q438" s="461"/>
      <c r="R438" s="381"/>
      <c r="S438" s="37"/>
      <c r="T438" s="37"/>
      <c r="U438" s="37"/>
      <c r="V438" s="37"/>
      <c r="W438" s="37"/>
      <c r="X438" s="37"/>
      <c r="Y43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8" s="37"/>
      <c r="AA438" s="662" t="str">
        <f>IF(COUNTA(CCTSAS[[#This Row],[Nom]:[heures annuelles
selon contrat(s)]])=0,"",CCTSAS[[#This Row],[Total global]]-ABS(CCTSAS[[#This Row],[Dont non opposable]]))</f>
        <v/>
      </c>
      <c r="AB438" s="8"/>
      <c r="AC438" s="63"/>
      <c r="AD438" s="428"/>
      <c r="AE438" s="428"/>
      <c r="AF438" s="428"/>
      <c r="AG438" s="43"/>
      <c r="AH438" s="183" t="str">
        <f>IF(COUNTA(CCTSAS[[#This Row],[Nom]:[heures annuelles
selon contrat(s)]])=0,"",REVEX!$E$9)</f>
        <v/>
      </c>
      <c r="AI438" s="72" t="str">
        <f>IF(CCTSAS[[#This Row],[Allocation fonctions]]="","",IF(ISNA(VLOOKUP(CCTSAS[[#This Row],[Allocation fonctions]],DROPDOWN[Dropdown82],1,FALSE))=TRUE,"Veuillez utiliser les allocations parmis la liste déroulante.",""))</f>
        <v/>
      </c>
    </row>
    <row r="439" spans="1:35" x14ac:dyDescent="0.25">
      <c r="A439" s="72" t="str">
        <f>IF(CCTSAS[[#This Row],[Carrière]]="","",IF(ISNA(VLOOKUP(CCTSAS[[#This Row],[Carrière]],DROPDOWN[Dropdown9],1,FALSE))=TRUE,"Carrière: Utiliser la liste déroulante",""))</f>
        <v/>
      </c>
      <c r="B439" s="554" t="str">
        <f>IF(CCTSAS[[#This Row],[Matricule]]="","",MAX($B$7:B438)+1)</f>
        <v/>
      </c>
      <c r="C439" s="8"/>
      <c r="D439" s="8"/>
      <c r="E439" s="20"/>
      <c r="F439" s="63"/>
      <c r="G439" s="8"/>
      <c r="H439" s="8"/>
      <c r="I439" s="10"/>
      <c r="J439" s="10"/>
      <c r="K439" s="9"/>
      <c r="L439" s="9"/>
      <c r="M439" s="9"/>
      <c r="N43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39" s="660"/>
      <c r="P439" s="660"/>
      <c r="Q439" s="461"/>
      <c r="R439" s="381"/>
      <c r="S439" s="37"/>
      <c r="T439" s="37"/>
      <c r="U439" s="37"/>
      <c r="V439" s="37"/>
      <c r="W439" s="37"/>
      <c r="X439" s="37"/>
      <c r="Y43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39" s="37"/>
      <c r="AA439" s="662" t="str">
        <f>IF(COUNTA(CCTSAS[[#This Row],[Nom]:[heures annuelles
selon contrat(s)]])=0,"",CCTSAS[[#This Row],[Total global]]-ABS(CCTSAS[[#This Row],[Dont non opposable]]))</f>
        <v/>
      </c>
      <c r="AB439" s="8"/>
      <c r="AC439" s="63"/>
      <c r="AD439" s="428"/>
      <c r="AE439" s="428"/>
      <c r="AF439" s="428"/>
      <c r="AG439" s="43"/>
      <c r="AH439" s="183" t="str">
        <f>IF(COUNTA(CCTSAS[[#This Row],[Nom]:[heures annuelles
selon contrat(s)]])=0,"",REVEX!$E$9)</f>
        <v/>
      </c>
      <c r="AI439" s="72" t="str">
        <f>IF(CCTSAS[[#This Row],[Allocation fonctions]]="","",IF(ISNA(VLOOKUP(CCTSAS[[#This Row],[Allocation fonctions]],DROPDOWN[Dropdown82],1,FALSE))=TRUE,"Veuillez utiliser les allocations parmis la liste déroulante.",""))</f>
        <v/>
      </c>
    </row>
    <row r="440" spans="1:35" x14ac:dyDescent="0.25">
      <c r="A440" s="72" t="str">
        <f>IF(CCTSAS[[#This Row],[Carrière]]="","",IF(ISNA(VLOOKUP(CCTSAS[[#This Row],[Carrière]],DROPDOWN[Dropdown9],1,FALSE))=TRUE,"Carrière: Utiliser la liste déroulante",""))</f>
        <v/>
      </c>
      <c r="B440" s="554" t="str">
        <f>IF(CCTSAS[[#This Row],[Matricule]]="","",MAX($B$7:B439)+1)</f>
        <v/>
      </c>
      <c r="C440" s="8"/>
      <c r="D440" s="8"/>
      <c r="E440" s="20"/>
      <c r="F440" s="63"/>
      <c r="G440" s="8"/>
      <c r="H440" s="8"/>
      <c r="I440" s="10"/>
      <c r="J440" s="10"/>
      <c r="K440" s="9"/>
      <c r="L440" s="9"/>
      <c r="M440" s="9"/>
      <c r="N44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0" s="660"/>
      <c r="P440" s="660"/>
      <c r="Q440" s="461"/>
      <c r="R440" s="381"/>
      <c r="S440" s="37"/>
      <c r="T440" s="37"/>
      <c r="U440" s="37"/>
      <c r="V440" s="37"/>
      <c r="W440" s="37"/>
      <c r="X440" s="37"/>
      <c r="Y44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0" s="37"/>
      <c r="AA440" s="662" t="str">
        <f>IF(COUNTA(CCTSAS[[#This Row],[Nom]:[heures annuelles
selon contrat(s)]])=0,"",CCTSAS[[#This Row],[Total global]]-ABS(CCTSAS[[#This Row],[Dont non opposable]]))</f>
        <v/>
      </c>
      <c r="AB440" s="8"/>
      <c r="AC440" s="63"/>
      <c r="AD440" s="428"/>
      <c r="AE440" s="428"/>
      <c r="AF440" s="428"/>
      <c r="AG440" s="43"/>
      <c r="AH440" s="183" t="str">
        <f>IF(COUNTA(CCTSAS[[#This Row],[Nom]:[heures annuelles
selon contrat(s)]])=0,"",REVEX!$E$9)</f>
        <v/>
      </c>
      <c r="AI440" s="72" t="str">
        <f>IF(CCTSAS[[#This Row],[Allocation fonctions]]="","",IF(ISNA(VLOOKUP(CCTSAS[[#This Row],[Allocation fonctions]],DROPDOWN[Dropdown82],1,FALSE))=TRUE,"Veuillez utiliser les allocations parmis la liste déroulante.",""))</f>
        <v/>
      </c>
    </row>
    <row r="441" spans="1:35" x14ac:dyDescent="0.25">
      <c r="A441" s="72" t="str">
        <f>IF(CCTSAS[[#This Row],[Carrière]]="","",IF(ISNA(VLOOKUP(CCTSAS[[#This Row],[Carrière]],DROPDOWN[Dropdown9],1,FALSE))=TRUE,"Carrière: Utiliser la liste déroulante",""))</f>
        <v/>
      </c>
      <c r="B441" s="554" t="str">
        <f>IF(CCTSAS[[#This Row],[Matricule]]="","",MAX($B$7:B440)+1)</f>
        <v/>
      </c>
      <c r="C441" s="8"/>
      <c r="D441" s="8"/>
      <c r="E441" s="20"/>
      <c r="F441" s="63"/>
      <c r="G441" s="8"/>
      <c r="H441" s="8"/>
      <c r="I441" s="10"/>
      <c r="J441" s="10"/>
      <c r="K441" s="9"/>
      <c r="L441" s="9"/>
      <c r="M441" s="9"/>
      <c r="N44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1" s="660"/>
      <c r="P441" s="660"/>
      <c r="Q441" s="461"/>
      <c r="R441" s="381"/>
      <c r="S441" s="37"/>
      <c r="T441" s="37"/>
      <c r="U441" s="37"/>
      <c r="V441" s="37"/>
      <c r="W441" s="37"/>
      <c r="X441" s="37"/>
      <c r="Y44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1" s="37"/>
      <c r="AA441" s="662" t="str">
        <f>IF(COUNTA(CCTSAS[[#This Row],[Nom]:[heures annuelles
selon contrat(s)]])=0,"",CCTSAS[[#This Row],[Total global]]-ABS(CCTSAS[[#This Row],[Dont non opposable]]))</f>
        <v/>
      </c>
      <c r="AB441" s="8"/>
      <c r="AC441" s="63"/>
      <c r="AD441" s="428"/>
      <c r="AE441" s="428"/>
      <c r="AF441" s="428"/>
      <c r="AG441" s="43"/>
      <c r="AH441" s="183" t="str">
        <f>IF(COUNTA(CCTSAS[[#This Row],[Nom]:[heures annuelles
selon contrat(s)]])=0,"",REVEX!$E$9)</f>
        <v/>
      </c>
      <c r="AI441" s="72" t="str">
        <f>IF(CCTSAS[[#This Row],[Allocation fonctions]]="","",IF(ISNA(VLOOKUP(CCTSAS[[#This Row],[Allocation fonctions]],DROPDOWN[Dropdown82],1,FALSE))=TRUE,"Veuillez utiliser les allocations parmis la liste déroulante.",""))</f>
        <v/>
      </c>
    </row>
    <row r="442" spans="1:35" x14ac:dyDescent="0.25">
      <c r="A442" s="72" t="str">
        <f>IF(CCTSAS[[#This Row],[Carrière]]="","",IF(ISNA(VLOOKUP(CCTSAS[[#This Row],[Carrière]],DROPDOWN[Dropdown9],1,FALSE))=TRUE,"Carrière: Utiliser la liste déroulante",""))</f>
        <v/>
      </c>
      <c r="B442" s="554" t="str">
        <f>IF(CCTSAS[[#This Row],[Matricule]]="","",MAX($B$7:B441)+1)</f>
        <v/>
      </c>
      <c r="C442" s="8"/>
      <c r="D442" s="8"/>
      <c r="E442" s="20"/>
      <c r="F442" s="63"/>
      <c r="G442" s="8"/>
      <c r="H442" s="8"/>
      <c r="I442" s="10"/>
      <c r="J442" s="10"/>
      <c r="K442" s="9"/>
      <c r="L442" s="9"/>
      <c r="M442" s="9"/>
      <c r="N44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2" s="660"/>
      <c r="P442" s="660"/>
      <c r="Q442" s="461"/>
      <c r="R442" s="381"/>
      <c r="S442" s="37"/>
      <c r="T442" s="37"/>
      <c r="U442" s="37"/>
      <c r="V442" s="37"/>
      <c r="W442" s="37"/>
      <c r="X442" s="37"/>
      <c r="Y44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2" s="37"/>
      <c r="AA442" s="662" t="str">
        <f>IF(COUNTA(CCTSAS[[#This Row],[Nom]:[heures annuelles
selon contrat(s)]])=0,"",CCTSAS[[#This Row],[Total global]]-ABS(CCTSAS[[#This Row],[Dont non opposable]]))</f>
        <v/>
      </c>
      <c r="AB442" s="8"/>
      <c r="AC442" s="63"/>
      <c r="AD442" s="428"/>
      <c r="AE442" s="428"/>
      <c r="AF442" s="428"/>
      <c r="AG442" s="43"/>
      <c r="AH442" s="183" t="str">
        <f>IF(COUNTA(CCTSAS[[#This Row],[Nom]:[heures annuelles
selon contrat(s)]])=0,"",REVEX!$E$9)</f>
        <v/>
      </c>
      <c r="AI442" s="72" t="str">
        <f>IF(CCTSAS[[#This Row],[Allocation fonctions]]="","",IF(ISNA(VLOOKUP(CCTSAS[[#This Row],[Allocation fonctions]],DROPDOWN[Dropdown82],1,FALSE))=TRUE,"Veuillez utiliser les allocations parmis la liste déroulante.",""))</f>
        <v/>
      </c>
    </row>
    <row r="443" spans="1:35" x14ac:dyDescent="0.25">
      <c r="A443" s="72" t="str">
        <f>IF(CCTSAS[[#This Row],[Carrière]]="","",IF(ISNA(VLOOKUP(CCTSAS[[#This Row],[Carrière]],DROPDOWN[Dropdown9],1,FALSE))=TRUE,"Carrière: Utiliser la liste déroulante",""))</f>
        <v/>
      </c>
      <c r="B443" s="554" t="str">
        <f>IF(CCTSAS[[#This Row],[Matricule]]="","",MAX($B$7:B442)+1)</f>
        <v/>
      </c>
      <c r="C443" s="8"/>
      <c r="D443" s="8"/>
      <c r="E443" s="20"/>
      <c r="F443" s="63"/>
      <c r="G443" s="8"/>
      <c r="H443" s="8"/>
      <c r="I443" s="10"/>
      <c r="J443" s="10"/>
      <c r="K443" s="9"/>
      <c r="L443" s="9"/>
      <c r="M443" s="9"/>
      <c r="N44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3" s="660"/>
      <c r="P443" s="660"/>
      <c r="Q443" s="461"/>
      <c r="R443" s="381"/>
      <c r="S443" s="37"/>
      <c r="T443" s="37"/>
      <c r="U443" s="37"/>
      <c r="V443" s="37"/>
      <c r="W443" s="37"/>
      <c r="X443" s="37"/>
      <c r="Y44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3" s="37"/>
      <c r="AA443" s="662" t="str">
        <f>IF(COUNTA(CCTSAS[[#This Row],[Nom]:[heures annuelles
selon contrat(s)]])=0,"",CCTSAS[[#This Row],[Total global]]-ABS(CCTSAS[[#This Row],[Dont non opposable]]))</f>
        <v/>
      </c>
      <c r="AB443" s="8"/>
      <c r="AC443" s="63"/>
      <c r="AD443" s="428"/>
      <c r="AE443" s="428"/>
      <c r="AF443" s="428"/>
      <c r="AG443" s="43"/>
      <c r="AH443" s="183" t="str">
        <f>IF(COUNTA(CCTSAS[[#This Row],[Nom]:[heures annuelles
selon contrat(s)]])=0,"",REVEX!$E$9)</f>
        <v/>
      </c>
      <c r="AI443" s="72" t="str">
        <f>IF(CCTSAS[[#This Row],[Allocation fonctions]]="","",IF(ISNA(VLOOKUP(CCTSAS[[#This Row],[Allocation fonctions]],DROPDOWN[Dropdown82],1,FALSE))=TRUE,"Veuillez utiliser les allocations parmis la liste déroulante.",""))</f>
        <v/>
      </c>
    </row>
    <row r="444" spans="1:35" x14ac:dyDescent="0.25">
      <c r="A444" s="72" t="str">
        <f>IF(CCTSAS[[#This Row],[Carrière]]="","",IF(ISNA(VLOOKUP(CCTSAS[[#This Row],[Carrière]],DROPDOWN[Dropdown9],1,FALSE))=TRUE,"Carrière: Utiliser la liste déroulante",""))</f>
        <v/>
      </c>
      <c r="B444" s="554" t="str">
        <f>IF(CCTSAS[[#This Row],[Matricule]]="","",MAX($B$7:B443)+1)</f>
        <v/>
      </c>
      <c r="C444" s="8"/>
      <c r="D444" s="8"/>
      <c r="E444" s="20"/>
      <c r="F444" s="63"/>
      <c r="G444" s="8"/>
      <c r="H444" s="8"/>
      <c r="I444" s="10"/>
      <c r="J444" s="10"/>
      <c r="K444" s="9"/>
      <c r="L444" s="9"/>
      <c r="M444" s="9"/>
      <c r="N44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4" s="660"/>
      <c r="P444" s="660"/>
      <c r="Q444" s="461"/>
      <c r="R444" s="381"/>
      <c r="S444" s="37"/>
      <c r="T444" s="37"/>
      <c r="U444" s="37"/>
      <c r="V444" s="37"/>
      <c r="W444" s="37"/>
      <c r="X444" s="37"/>
      <c r="Y44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4" s="37"/>
      <c r="AA444" s="662" t="str">
        <f>IF(COUNTA(CCTSAS[[#This Row],[Nom]:[heures annuelles
selon contrat(s)]])=0,"",CCTSAS[[#This Row],[Total global]]-ABS(CCTSAS[[#This Row],[Dont non opposable]]))</f>
        <v/>
      </c>
      <c r="AB444" s="8"/>
      <c r="AC444" s="63"/>
      <c r="AD444" s="428"/>
      <c r="AE444" s="428"/>
      <c r="AF444" s="428"/>
      <c r="AG444" s="43"/>
      <c r="AH444" s="183" t="str">
        <f>IF(COUNTA(CCTSAS[[#This Row],[Nom]:[heures annuelles
selon contrat(s)]])=0,"",REVEX!$E$9)</f>
        <v/>
      </c>
      <c r="AI444" s="72" t="str">
        <f>IF(CCTSAS[[#This Row],[Allocation fonctions]]="","",IF(ISNA(VLOOKUP(CCTSAS[[#This Row],[Allocation fonctions]],DROPDOWN[Dropdown82],1,FALSE))=TRUE,"Veuillez utiliser les allocations parmis la liste déroulante.",""))</f>
        <v/>
      </c>
    </row>
    <row r="445" spans="1:35" x14ac:dyDescent="0.25">
      <c r="A445" s="72" t="str">
        <f>IF(CCTSAS[[#This Row],[Carrière]]="","",IF(ISNA(VLOOKUP(CCTSAS[[#This Row],[Carrière]],DROPDOWN[Dropdown9],1,FALSE))=TRUE,"Carrière: Utiliser la liste déroulante",""))</f>
        <v/>
      </c>
      <c r="B445" s="554" t="str">
        <f>IF(CCTSAS[[#This Row],[Matricule]]="","",MAX($B$7:B444)+1)</f>
        <v/>
      </c>
      <c r="C445" s="8"/>
      <c r="D445" s="8"/>
      <c r="E445" s="20"/>
      <c r="F445" s="63"/>
      <c r="G445" s="8"/>
      <c r="H445" s="8"/>
      <c r="I445" s="10"/>
      <c r="J445" s="10"/>
      <c r="K445" s="9"/>
      <c r="L445" s="9"/>
      <c r="M445" s="9"/>
      <c r="N44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5" s="660"/>
      <c r="P445" s="660"/>
      <c r="Q445" s="461"/>
      <c r="R445" s="381"/>
      <c r="S445" s="37"/>
      <c r="T445" s="37"/>
      <c r="U445" s="37"/>
      <c r="V445" s="37"/>
      <c r="W445" s="37"/>
      <c r="X445" s="37"/>
      <c r="Y44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5" s="37"/>
      <c r="AA445" s="662" t="str">
        <f>IF(COUNTA(CCTSAS[[#This Row],[Nom]:[heures annuelles
selon contrat(s)]])=0,"",CCTSAS[[#This Row],[Total global]]-ABS(CCTSAS[[#This Row],[Dont non opposable]]))</f>
        <v/>
      </c>
      <c r="AB445" s="8"/>
      <c r="AC445" s="63"/>
      <c r="AD445" s="428"/>
      <c r="AE445" s="428"/>
      <c r="AF445" s="428"/>
      <c r="AG445" s="43"/>
      <c r="AH445" s="183" t="str">
        <f>IF(COUNTA(CCTSAS[[#This Row],[Nom]:[heures annuelles
selon contrat(s)]])=0,"",REVEX!$E$9)</f>
        <v/>
      </c>
      <c r="AI445" s="72" t="str">
        <f>IF(CCTSAS[[#This Row],[Allocation fonctions]]="","",IF(ISNA(VLOOKUP(CCTSAS[[#This Row],[Allocation fonctions]],DROPDOWN[Dropdown82],1,FALSE))=TRUE,"Veuillez utiliser les allocations parmis la liste déroulante.",""))</f>
        <v/>
      </c>
    </row>
    <row r="446" spans="1:35" x14ac:dyDescent="0.25">
      <c r="A446" s="72" t="str">
        <f>IF(CCTSAS[[#This Row],[Carrière]]="","",IF(ISNA(VLOOKUP(CCTSAS[[#This Row],[Carrière]],DROPDOWN[Dropdown9],1,FALSE))=TRUE,"Carrière: Utiliser la liste déroulante",""))</f>
        <v/>
      </c>
      <c r="B446" s="554" t="str">
        <f>IF(CCTSAS[[#This Row],[Matricule]]="","",MAX($B$7:B445)+1)</f>
        <v/>
      </c>
      <c r="C446" s="8"/>
      <c r="D446" s="8"/>
      <c r="E446" s="20"/>
      <c r="F446" s="63"/>
      <c r="G446" s="8"/>
      <c r="H446" s="8"/>
      <c r="I446" s="10"/>
      <c r="J446" s="10"/>
      <c r="K446" s="9"/>
      <c r="L446" s="9"/>
      <c r="M446" s="9"/>
      <c r="N44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6" s="660"/>
      <c r="P446" s="660"/>
      <c r="Q446" s="461"/>
      <c r="R446" s="381"/>
      <c r="S446" s="37"/>
      <c r="T446" s="37"/>
      <c r="U446" s="37"/>
      <c r="V446" s="37"/>
      <c r="W446" s="37"/>
      <c r="X446" s="37"/>
      <c r="Y44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6" s="37"/>
      <c r="AA446" s="662" t="str">
        <f>IF(COUNTA(CCTSAS[[#This Row],[Nom]:[heures annuelles
selon contrat(s)]])=0,"",CCTSAS[[#This Row],[Total global]]-ABS(CCTSAS[[#This Row],[Dont non opposable]]))</f>
        <v/>
      </c>
      <c r="AB446" s="8"/>
      <c r="AC446" s="63"/>
      <c r="AD446" s="428"/>
      <c r="AE446" s="428"/>
      <c r="AF446" s="428"/>
      <c r="AG446" s="43"/>
      <c r="AH446" s="183" t="str">
        <f>IF(COUNTA(CCTSAS[[#This Row],[Nom]:[heures annuelles
selon contrat(s)]])=0,"",REVEX!$E$9)</f>
        <v/>
      </c>
      <c r="AI446" s="72" t="str">
        <f>IF(CCTSAS[[#This Row],[Allocation fonctions]]="","",IF(ISNA(VLOOKUP(CCTSAS[[#This Row],[Allocation fonctions]],DROPDOWN[Dropdown82],1,FALSE))=TRUE,"Veuillez utiliser les allocations parmis la liste déroulante.",""))</f>
        <v/>
      </c>
    </row>
    <row r="447" spans="1:35" x14ac:dyDescent="0.25">
      <c r="A447" s="72" t="str">
        <f>IF(CCTSAS[[#This Row],[Carrière]]="","",IF(ISNA(VLOOKUP(CCTSAS[[#This Row],[Carrière]],DROPDOWN[Dropdown9],1,FALSE))=TRUE,"Carrière: Utiliser la liste déroulante",""))</f>
        <v/>
      </c>
      <c r="B447" s="554" t="str">
        <f>IF(CCTSAS[[#This Row],[Matricule]]="","",MAX($B$7:B446)+1)</f>
        <v/>
      </c>
      <c r="C447" s="8"/>
      <c r="D447" s="8"/>
      <c r="E447" s="20"/>
      <c r="F447" s="63"/>
      <c r="G447" s="8"/>
      <c r="H447" s="8"/>
      <c r="I447" s="10"/>
      <c r="J447" s="10"/>
      <c r="K447" s="9"/>
      <c r="L447" s="9"/>
      <c r="M447" s="9"/>
      <c r="N44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7" s="660"/>
      <c r="P447" s="660"/>
      <c r="Q447" s="461"/>
      <c r="R447" s="381"/>
      <c r="S447" s="37"/>
      <c r="T447" s="37"/>
      <c r="U447" s="37"/>
      <c r="V447" s="37"/>
      <c r="W447" s="37"/>
      <c r="X447" s="37"/>
      <c r="Y44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7" s="37"/>
      <c r="AA447" s="662" t="str">
        <f>IF(COUNTA(CCTSAS[[#This Row],[Nom]:[heures annuelles
selon contrat(s)]])=0,"",CCTSAS[[#This Row],[Total global]]-ABS(CCTSAS[[#This Row],[Dont non opposable]]))</f>
        <v/>
      </c>
      <c r="AB447" s="8"/>
      <c r="AC447" s="63"/>
      <c r="AD447" s="428"/>
      <c r="AE447" s="428"/>
      <c r="AF447" s="428"/>
      <c r="AG447" s="43"/>
      <c r="AH447" s="183" t="str">
        <f>IF(COUNTA(CCTSAS[[#This Row],[Nom]:[heures annuelles
selon contrat(s)]])=0,"",REVEX!$E$9)</f>
        <v/>
      </c>
      <c r="AI447" s="72" t="str">
        <f>IF(CCTSAS[[#This Row],[Allocation fonctions]]="","",IF(ISNA(VLOOKUP(CCTSAS[[#This Row],[Allocation fonctions]],DROPDOWN[Dropdown82],1,FALSE))=TRUE,"Veuillez utiliser les allocations parmis la liste déroulante.",""))</f>
        <v/>
      </c>
    </row>
    <row r="448" spans="1:35" x14ac:dyDescent="0.25">
      <c r="A448" s="72" t="str">
        <f>IF(CCTSAS[[#This Row],[Carrière]]="","",IF(ISNA(VLOOKUP(CCTSAS[[#This Row],[Carrière]],DROPDOWN[Dropdown9],1,FALSE))=TRUE,"Carrière: Utiliser la liste déroulante",""))</f>
        <v/>
      </c>
      <c r="B448" s="554" t="str">
        <f>IF(CCTSAS[[#This Row],[Matricule]]="","",MAX($B$7:B447)+1)</f>
        <v/>
      </c>
      <c r="C448" s="8"/>
      <c r="D448" s="8"/>
      <c r="E448" s="20"/>
      <c r="F448" s="63"/>
      <c r="G448" s="8"/>
      <c r="H448" s="8"/>
      <c r="I448" s="10"/>
      <c r="J448" s="10"/>
      <c r="K448" s="9"/>
      <c r="L448" s="9"/>
      <c r="M448" s="9"/>
      <c r="N44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8" s="660"/>
      <c r="P448" s="660"/>
      <c r="Q448" s="461"/>
      <c r="R448" s="381"/>
      <c r="S448" s="37"/>
      <c r="T448" s="37"/>
      <c r="U448" s="37"/>
      <c r="V448" s="37"/>
      <c r="W448" s="37"/>
      <c r="X448" s="37"/>
      <c r="Y44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8" s="37"/>
      <c r="AA448" s="662" t="str">
        <f>IF(COUNTA(CCTSAS[[#This Row],[Nom]:[heures annuelles
selon contrat(s)]])=0,"",CCTSAS[[#This Row],[Total global]]-ABS(CCTSAS[[#This Row],[Dont non opposable]]))</f>
        <v/>
      </c>
      <c r="AB448" s="8"/>
      <c r="AC448" s="63"/>
      <c r="AD448" s="428"/>
      <c r="AE448" s="428"/>
      <c r="AF448" s="428"/>
      <c r="AG448" s="43"/>
      <c r="AH448" s="183" t="str">
        <f>IF(COUNTA(CCTSAS[[#This Row],[Nom]:[heures annuelles
selon contrat(s)]])=0,"",REVEX!$E$9)</f>
        <v/>
      </c>
      <c r="AI448" s="72" t="str">
        <f>IF(CCTSAS[[#This Row],[Allocation fonctions]]="","",IF(ISNA(VLOOKUP(CCTSAS[[#This Row],[Allocation fonctions]],DROPDOWN[Dropdown82],1,FALSE))=TRUE,"Veuillez utiliser les allocations parmis la liste déroulante.",""))</f>
        <v/>
      </c>
    </row>
    <row r="449" spans="1:35" x14ac:dyDescent="0.25">
      <c r="A449" s="72" t="str">
        <f>IF(CCTSAS[[#This Row],[Carrière]]="","",IF(ISNA(VLOOKUP(CCTSAS[[#This Row],[Carrière]],DROPDOWN[Dropdown9],1,FALSE))=TRUE,"Carrière: Utiliser la liste déroulante",""))</f>
        <v/>
      </c>
      <c r="B449" s="554" t="str">
        <f>IF(CCTSAS[[#This Row],[Matricule]]="","",MAX($B$7:B448)+1)</f>
        <v/>
      </c>
      <c r="C449" s="8"/>
      <c r="D449" s="8"/>
      <c r="E449" s="20"/>
      <c r="F449" s="63"/>
      <c r="G449" s="8"/>
      <c r="H449" s="8"/>
      <c r="I449" s="10"/>
      <c r="J449" s="10"/>
      <c r="K449" s="9"/>
      <c r="L449" s="9"/>
      <c r="M449" s="9"/>
      <c r="N44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49" s="660"/>
      <c r="P449" s="660"/>
      <c r="Q449" s="461"/>
      <c r="R449" s="381"/>
      <c r="S449" s="37"/>
      <c r="T449" s="37"/>
      <c r="U449" s="37"/>
      <c r="V449" s="37"/>
      <c r="W449" s="37"/>
      <c r="X449" s="37"/>
      <c r="Y44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49" s="37"/>
      <c r="AA449" s="662" t="str">
        <f>IF(COUNTA(CCTSAS[[#This Row],[Nom]:[heures annuelles
selon contrat(s)]])=0,"",CCTSAS[[#This Row],[Total global]]-ABS(CCTSAS[[#This Row],[Dont non opposable]]))</f>
        <v/>
      </c>
      <c r="AB449" s="8"/>
      <c r="AC449" s="63"/>
      <c r="AD449" s="428"/>
      <c r="AE449" s="428"/>
      <c r="AF449" s="428"/>
      <c r="AG449" s="43"/>
      <c r="AH449" s="183" t="str">
        <f>IF(COUNTA(CCTSAS[[#This Row],[Nom]:[heures annuelles
selon contrat(s)]])=0,"",REVEX!$E$9)</f>
        <v/>
      </c>
      <c r="AI449" s="72" t="str">
        <f>IF(CCTSAS[[#This Row],[Allocation fonctions]]="","",IF(ISNA(VLOOKUP(CCTSAS[[#This Row],[Allocation fonctions]],DROPDOWN[Dropdown82],1,FALSE))=TRUE,"Veuillez utiliser les allocations parmis la liste déroulante.",""))</f>
        <v/>
      </c>
    </row>
    <row r="450" spans="1:35" x14ac:dyDescent="0.25">
      <c r="A450" s="72" t="str">
        <f>IF(CCTSAS[[#This Row],[Carrière]]="","",IF(ISNA(VLOOKUP(CCTSAS[[#This Row],[Carrière]],DROPDOWN[Dropdown9],1,FALSE))=TRUE,"Carrière: Utiliser la liste déroulante",""))</f>
        <v/>
      </c>
      <c r="B450" s="554" t="str">
        <f>IF(CCTSAS[[#This Row],[Matricule]]="","",MAX($B$7:B449)+1)</f>
        <v/>
      </c>
      <c r="C450" s="8"/>
      <c r="D450" s="8"/>
      <c r="E450" s="20"/>
      <c r="F450" s="63"/>
      <c r="G450" s="8"/>
      <c r="H450" s="8"/>
      <c r="I450" s="10"/>
      <c r="J450" s="10"/>
      <c r="K450" s="9"/>
      <c r="L450" s="9"/>
      <c r="M450" s="9"/>
      <c r="N45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0" s="660"/>
      <c r="P450" s="660"/>
      <c r="Q450" s="461"/>
      <c r="R450" s="381"/>
      <c r="S450" s="37"/>
      <c r="T450" s="37"/>
      <c r="U450" s="37"/>
      <c r="V450" s="37"/>
      <c r="W450" s="37"/>
      <c r="X450" s="37"/>
      <c r="Y45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0" s="37"/>
      <c r="AA450" s="662" t="str">
        <f>IF(COUNTA(CCTSAS[[#This Row],[Nom]:[heures annuelles
selon contrat(s)]])=0,"",CCTSAS[[#This Row],[Total global]]-ABS(CCTSAS[[#This Row],[Dont non opposable]]))</f>
        <v/>
      </c>
      <c r="AB450" s="8"/>
      <c r="AC450" s="63"/>
      <c r="AD450" s="428"/>
      <c r="AE450" s="428"/>
      <c r="AF450" s="428"/>
      <c r="AG450" s="43"/>
      <c r="AH450" s="183" t="str">
        <f>IF(COUNTA(CCTSAS[[#This Row],[Nom]:[heures annuelles
selon contrat(s)]])=0,"",REVEX!$E$9)</f>
        <v/>
      </c>
      <c r="AI450" s="72" t="str">
        <f>IF(CCTSAS[[#This Row],[Allocation fonctions]]="","",IF(ISNA(VLOOKUP(CCTSAS[[#This Row],[Allocation fonctions]],DROPDOWN[Dropdown82],1,FALSE))=TRUE,"Veuillez utiliser les allocations parmis la liste déroulante.",""))</f>
        <v/>
      </c>
    </row>
    <row r="451" spans="1:35" x14ac:dyDescent="0.25">
      <c r="A451" s="72" t="str">
        <f>IF(CCTSAS[[#This Row],[Carrière]]="","",IF(ISNA(VLOOKUP(CCTSAS[[#This Row],[Carrière]],DROPDOWN[Dropdown9],1,FALSE))=TRUE,"Carrière: Utiliser la liste déroulante",""))</f>
        <v/>
      </c>
      <c r="B451" s="554" t="str">
        <f>IF(CCTSAS[[#This Row],[Matricule]]="","",MAX($B$7:B450)+1)</f>
        <v/>
      </c>
      <c r="C451" s="8"/>
      <c r="D451" s="8"/>
      <c r="E451" s="20"/>
      <c r="F451" s="63"/>
      <c r="G451" s="8"/>
      <c r="H451" s="8"/>
      <c r="I451" s="10"/>
      <c r="J451" s="10"/>
      <c r="K451" s="9"/>
      <c r="L451" s="9"/>
      <c r="M451" s="9"/>
      <c r="N45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1" s="660"/>
      <c r="P451" s="660"/>
      <c r="Q451" s="461"/>
      <c r="R451" s="381"/>
      <c r="S451" s="37"/>
      <c r="T451" s="37"/>
      <c r="U451" s="37"/>
      <c r="V451" s="37"/>
      <c r="W451" s="37"/>
      <c r="X451" s="37"/>
      <c r="Y45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1" s="37"/>
      <c r="AA451" s="662" t="str">
        <f>IF(COUNTA(CCTSAS[[#This Row],[Nom]:[heures annuelles
selon contrat(s)]])=0,"",CCTSAS[[#This Row],[Total global]]-ABS(CCTSAS[[#This Row],[Dont non opposable]]))</f>
        <v/>
      </c>
      <c r="AB451" s="8"/>
      <c r="AC451" s="63"/>
      <c r="AD451" s="428"/>
      <c r="AE451" s="428"/>
      <c r="AF451" s="428"/>
      <c r="AG451" s="43"/>
      <c r="AH451" s="183" t="str">
        <f>IF(COUNTA(CCTSAS[[#This Row],[Nom]:[heures annuelles
selon contrat(s)]])=0,"",REVEX!$E$9)</f>
        <v/>
      </c>
      <c r="AI451" s="72" t="str">
        <f>IF(CCTSAS[[#This Row],[Allocation fonctions]]="","",IF(ISNA(VLOOKUP(CCTSAS[[#This Row],[Allocation fonctions]],DROPDOWN[Dropdown82],1,FALSE))=TRUE,"Veuillez utiliser les allocations parmis la liste déroulante.",""))</f>
        <v/>
      </c>
    </row>
    <row r="452" spans="1:35" x14ac:dyDescent="0.25">
      <c r="A452" s="72" t="str">
        <f>IF(CCTSAS[[#This Row],[Carrière]]="","",IF(ISNA(VLOOKUP(CCTSAS[[#This Row],[Carrière]],DROPDOWN[Dropdown9],1,FALSE))=TRUE,"Carrière: Utiliser la liste déroulante",""))</f>
        <v/>
      </c>
      <c r="B452" s="554" t="str">
        <f>IF(CCTSAS[[#This Row],[Matricule]]="","",MAX($B$7:B451)+1)</f>
        <v/>
      </c>
      <c r="C452" s="8"/>
      <c r="D452" s="8"/>
      <c r="E452" s="20"/>
      <c r="F452" s="63"/>
      <c r="G452" s="8"/>
      <c r="H452" s="8"/>
      <c r="I452" s="10"/>
      <c r="J452" s="10"/>
      <c r="K452" s="9"/>
      <c r="L452" s="9"/>
      <c r="M452" s="9"/>
      <c r="N45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2" s="660"/>
      <c r="P452" s="660"/>
      <c r="Q452" s="461"/>
      <c r="R452" s="381"/>
      <c r="S452" s="37"/>
      <c r="T452" s="37"/>
      <c r="U452" s="37"/>
      <c r="V452" s="37"/>
      <c r="W452" s="37"/>
      <c r="X452" s="37"/>
      <c r="Y45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2" s="37"/>
      <c r="AA452" s="662" t="str">
        <f>IF(COUNTA(CCTSAS[[#This Row],[Nom]:[heures annuelles
selon contrat(s)]])=0,"",CCTSAS[[#This Row],[Total global]]-ABS(CCTSAS[[#This Row],[Dont non opposable]]))</f>
        <v/>
      </c>
      <c r="AB452" s="8"/>
      <c r="AC452" s="63"/>
      <c r="AD452" s="428"/>
      <c r="AE452" s="428"/>
      <c r="AF452" s="428"/>
      <c r="AG452" s="43"/>
      <c r="AH452" s="183" t="str">
        <f>IF(COUNTA(CCTSAS[[#This Row],[Nom]:[heures annuelles
selon contrat(s)]])=0,"",REVEX!$E$9)</f>
        <v/>
      </c>
      <c r="AI452" s="72" t="str">
        <f>IF(CCTSAS[[#This Row],[Allocation fonctions]]="","",IF(ISNA(VLOOKUP(CCTSAS[[#This Row],[Allocation fonctions]],DROPDOWN[Dropdown82],1,FALSE))=TRUE,"Veuillez utiliser les allocations parmis la liste déroulante.",""))</f>
        <v/>
      </c>
    </row>
    <row r="453" spans="1:35" x14ac:dyDescent="0.25">
      <c r="A453" s="72" t="str">
        <f>IF(CCTSAS[[#This Row],[Carrière]]="","",IF(ISNA(VLOOKUP(CCTSAS[[#This Row],[Carrière]],DROPDOWN[Dropdown9],1,FALSE))=TRUE,"Carrière: Utiliser la liste déroulante",""))</f>
        <v/>
      </c>
      <c r="B453" s="554" t="str">
        <f>IF(CCTSAS[[#This Row],[Matricule]]="","",MAX($B$7:B452)+1)</f>
        <v/>
      </c>
      <c r="C453" s="8"/>
      <c r="D453" s="8"/>
      <c r="E453" s="20"/>
      <c r="F453" s="63"/>
      <c r="G453" s="8"/>
      <c r="H453" s="8"/>
      <c r="I453" s="10"/>
      <c r="J453" s="10"/>
      <c r="K453" s="9"/>
      <c r="L453" s="9"/>
      <c r="M453" s="9"/>
      <c r="N45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3" s="660"/>
      <c r="P453" s="660"/>
      <c r="Q453" s="461"/>
      <c r="R453" s="381"/>
      <c r="S453" s="37"/>
      <c r="T453" s="37"/>
      <c r="U453" s="37"/>
      <c r="V453" s="37"/>
      <c r="W453" s="37"/>
      <c r="X453" s="37"/>
      <c r="Y45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3" s="37"/>
      <c r="AA453" s="662" t="str">
        <f>IF(COUNTA(CCTSAS[[#This Row],[Nom]:[heures annuelles
selon contrat(s)]])=0,"",CCTSAS[[#This Row],[Total global]]-ABS(CCTSAS[[#This Row],[Dont non opposable]]))</f>
        <v/>
      </c>
      <c r="AB453" s="8"/>
      <c r="AC453" s="63"/>
      <c r="AD453" s="428"/>
      <c r="AE453" s="428"/>
      <c r="AF453" s="428"/>
      <c r="AG453" s="43"/>
      <c r="AH453" s="183" t="str">
        <f>IF(COUNTA(CCTSAS[[#This Row],[Nom]:[heures annuelles
selon contrat(s)]])=0,"",REVEX!$E$9)</f>
        <v/>
      </c>
      <c r="AI453" s="72" t="str">
        <f>IF(CCTSAS[[#This Row],[Allocation fonctions]]="","",IF(ISNA(VLOOKUP(CCTSAS[[#This Row],[Allocation fonctions]],DROPDOWN[Dropdown82],1,FALSE))=TRUE,"Veuillez utiliser les allocations parmis la liste déroulante.",""))</f>
        <v/>
      </c>
    </row>
    <row r="454" spans="1:35" x14ac:dyDescent="0.25">
      <c r="A454" s="72" t="str">
        <f>IF(CCTSAS[[#This Row],[Carrière]]="","",IF(ISNA(VLOOKUP(CCTSAS[[#This Row],[Carrière]],DROPDOWN[Dropdown9],1,FALSE))=TRUE,"Carrière: Utiliser la liste déroulante",""))</f>
        <v/>
      </c>
      <c r="B454" s="554" t="str">
        <f>IF(CCTSAS[[#This Row],[Matricule]]="","",MAX($B$7:B453)+1)</f>
        <v/>
      </c>
      <c r="C454" s="8"/>
      <c r="D454" s="8"/>
      <c r="E454" s="20"/>
      <c r="F454" s="63"/>
      <c r="G454" s="8"/>
      <c r="H454" s="8"/>
      <c r="I454" s="10"/>
      <c r="J454" s="10"/>
      <c r="K454" s="9"/>
      <c r="L454" s="9"/>
      <c r="M454" s="9"/>
      <c r="N45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4" s="660"/>
      <c r="P454" s="660"/>
      <c r="Q454" s="461"/>
      <c r="R454" s="381"/>
      <c r="S454" s="37"/>
      <c r="T454" s="37"/>
      <c r="U454" s="37"/>
      <c r="V454" s="37"/>
      <c r="W454" s="37"/>
      <c r="X454" s="37"/>
      <c r="Y45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4" s="37"/>
      <c r="AA454" s="662" t="str">
        <f>IF(COUNTA(CCTSAS[[#This Row],[Nom]:[heures annuelles
selon contrat(s)]])=0,"",CCTSAS[[#This Row],[Total global]]-ABS(CCTSAS[[#This Row],[Dont non opposable]]))</f>
        <v/>
      </c>
      <c r="AB454" s="8"/>
      <c r="AC454" s="63"/>
      <c r="AD454" s="428"/>
      <c r="AE454" s="428"/>
      <c r="AF454" s="428"/>
      <c r="AG454" s="43"/>
      <c r="AH454" s="183" t="str">
        <f>IF(COUNTA(CCTSAS[[#This Row],[Nom]:[heures annuelles
selon contrat(s)]])=0,"",REVEX!$E$9)</f>
        <v/>
      </c>
      <c r="AI454" s="72" t="str">
        <f>IF(CCTSAS[[#This Row],[Allocation fonctions]]="","",IF(ISNA(VLOOKUP(CCTSAS[[#This Row],[Allocation fonctions]],DROPDOWN[Dropdown82],1,FALSE))=TRUE,"Veuillez utiliser les allocations parmis la liste déroulante.",""))</f>
        <v/>
      </c>
    </row>
    <row r="455" spans="1:35" x14ac:dyDescent="0.25">
      <c r="A455" s="72" t="str">
        <f>IF(CCTSAS[[#This Row],[Carrière]]="","",IF(ISNA(VLOOKUP(CCTSAS[[#This Row],[Carrière]],DROPDOWN[Dropdown9],1,FALSE))=TRUE,"Carrière: Utiliser la liste déroulante",""))</f>
        <v/>
      </c>
      <c r="B455" s="554" t="str">
        <f>IF(CCTSAS[[#This Row],[Matricule]]="","",MAX($B$7:B454)+1)</f>
        <v/>
      </c>
      <c r="C455" s="8"/>
      <c r="D455" s="8"/>
      <c r="E455" s="20"/>
      <c r="F455" s="63"/>
      <c r="G455" s="8"/>
      <c r="H455" s="8"/>
      <c r="I455" s="10"/>
      <c r="J455" s="10"/>
      <c r="K455" s="9"/>
      <c r="L455" s="9"/>
      <c r="M455" s="9"/>
      <c r="N45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5" s="660"/>
      <c r="P455" s="660"/>
      <c r="Q455" s="461"/>
      <c r="R455" s="381"/>
      <c r="S455" s="37"/>
      <c r="T455" s="37"/>
      <c r="U455" s="37"/>
      <c r="V455" s="37"/>
      <c r="W455" s="37"/>
      <c r="X455" s="37"/>
      <c r="Y45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5" s="37"/>
      <c r="AA455" s="662" t="str">
        <f>IF(COUNTA(CCTSAS[[#This Row],[Nom]:[heures annuelles
selon contrat(s)]])=0,"",CCTSAS[[#This Row],[Total global]]-ABS(CCTSAS[[#This Row],[Dont non opposable]]))</f>
        <v/>
      </c>
      <c r="AB455" s="8"/>
      <c r="AC455" s="63"/>
      <c r="AD455" s="428"/>
      <c r="AE455" s="428"/>
      <c r="AF455" s="428"/>
      <c r="AG455" s="43"/>
      <c r="AH455" s="183" t="str">
        <f>IF(COUNTA(CCTSAS[[#This Row],[Nom]:[heures annuelles
selon contrat(s)]])=0,"",REVEX!$E$9)</f>
        <v/>
      </c>
      <c r="AI455" s="72" t="str">
        <f>IF(CCTSAS[[#This Row],[Allocation fonctions]]="","",IF(ISNA(VLOOKUP(CCTSAS[[#This Row],[Allocation fonctions]],DROPDOWN[Dropdown82],1,FALSE))=TRUE,"Veuillez utiliser les allocations parmis la liste déroulante.",""))</f>
        <v/>
      </c>
    </row>
    <row r="456" spans="1:35" x14ac:dyDescent="0.25">
      <c r="A456" s="72" t="str">
        <f>IF(CCTSAS[[#This Row],[Carrière]]="","",IF(ISNA(VLOOKUP(CCTSAS[[#This Row],[Carrière]],DROPDOWN[Dropdown9],1,FALSE))=TRUE,"Carrière: Utiliser la liste déroulante",""))</f>
        <v/>
      </c>
      <c r="B456" s="554" t="str">
        <f>IF(CCTSAS[[#This Row],[Matricule]]="","",MAX($B$7:B455)+1)</f>
        <v/>
      </c>
      <c r="C456" s="8"/>
      <c r="D456" s="8"/>
      <c r="E456" s="20"/>
      <c r="F456" s="63"/>
      <c r="G456" s="8"/>
      <c r="H456" s="8"/>
      <c r="I456" s="10"/>
      <c r="J456" s="10"/>
      <c r="K456" s="9"/>
      <c r="L456" s="9"/>
      <c r="M456" s="9"/>
      <c r="N45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6" s="660"/>
      <c r="P456" s="660"/>
      <c r="Q456" s="461"/>
      <c r="R456" s="381"/>
      <c r="S456" s="37"/>
      <c r="T456" s="37"/>
      <c r="U456" s="37"/>
      <c r="V456" s="37"/>
      <c r="W456" s="37"/>
      <c r="X456" s="37"/>
      <c r="Y45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6" s="37"/>
      <c r="AA456" s="662" t="str">
        <f>IF(COUNTA(CCTSAS[[#This Row],[Nom]:[heures annuelles
selon contrat(s)]])=0,"",CCTSAS[[#This Row],[Total global]]-ABS(CCTSAS[[#This Row],[Dont non opposable]]))</f>
        <v/>
      </c>
      <c r="AB456" s="8"/>
      <c r="AC456" s="63"/>
      <c r="AD456" s="428"/>
      <c r="AE456" s="428"/>
      <c r="AF456" s="428"/>
      <c r="AG456" s="43"/>
      <c r="AH456" s="183" t="str">
        <f>IF(COUNTA(CCTSAS[[#This Row],[Nom]:[heures annuelles
selon contrat(s)]])=0,"",REVEX!$E$9)</f>
        <v/>
      </c>
      <c r="AI456" s="72" t="str">
        <f>IF(CCTSAS[[#This Row],[Allocation fonctions]]="","",IF(ISNA(VLOOKUP(CCTSAS[[#This Row],[Allocation fonctions]],DROPDOWN[Dropdown82],1,FALSE))=TRUE,"Veuillez utiliser les allocations parmis la liste déroulante.",""))</f>
        <v/>
      </c>
    </row>
    <row r="457" spans="1:35" x14ac:dyDescent="0.25">
      <c r="A457" s="72" t="str">
        <f>IF(CCTSAS[[#This Row],[Carrière]]="","",IF(ISNA(VLOOKUP(CCTSAS[[#This Row],[Carrière]],DROPDOWN[Dropdown9],1,FALSE))=TRUE,"Carrière: Utiliser la liste déroulante",""))</f>
        <v/>
      </c>
      <c r="B457" s="554" t="str">
        <f>IF(CCTSAS[[#This Row],[Matricule]]="","",MAX($B$7:B456)+1)</f>
        <v/>
      </c>
      <c r="C457" s="8"/>
      <c r="D457" s="8"/>
      <c r="E457" s="20"/>
      <c r="F457" s="63"/>
      <c r="G457" s="8"/>
      <c r="H457" s="8"/>
      <c r="I457" s="10"/>
      <c r="J457" s="10"/>
      <c r="K457" s="9"/>
      <c r="L457" s="9"/>
      <c r="M457" s="9"/>
      <c r="N45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7" s="660"/>
      <c r="P457" s="660"/>
      <c r="Q457" s="461"/>
      <c r="R457" s="381"/>
      <c r="S457" s="37"/>
      <c r="T457" s="37"/>
      <c r="U457" s="37"/>
      <c r="V457" s="37"/>
      <c r="W457" s="37"/>
      <c r="X457" s="37"/>
      <c r="Y45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7" s="37"/>
      <c r="AA457" s="662" t="str">
        <f>IF(COUNTA(CCTSAS[[#This Row],[Nom]:[heures annuelles
selon contrat(s)]])=0,"",CCTSAS[[#This Row],[Total global]]-ABS(CCTSAS[[#This Row],[Dont non opposable]]))</f>
        <v/>
      </c>
      <c r="AB457" s="8"/>
      <c r="AC457" s="63"/>
      <c r="AD457" s="428"/>
      <c r="AE457" s="428"/>
      <c r="AF457" s="428"/>
      <c r="AG457" s="43"/>
      <c r="AH457" s="183" t="str">
        <f>IF(COUNTA(CCTSAS[[#This Row],[Nom]:[heures annuelles
selon contrat(s)]])=0,"",REVEX!$E$9)</f>
        <v/>
      </c>
      <c r="AI457" s="72" t="str">
        <f>IF(CCTSAS[[#This Row],[Allocation fonctions]]="","",IF(ISNA(VLOOKUP(CCTSAS[[#This Row],[Allocation fonctions]],DROPDOWN[Dropdown82],1,FALSE))=TRUE,"Veuillez utiliser les allocations parmis la liste déroulante.",""))</f>
        <v/>
      </c>
    </row>
    <row r="458" spans="1:35" x14ac:dyDescent="0.25">
      <c r="A458" s="72" t="str">
        <f>IF(CCTSAS[[#This Row],[Carrière]]="","",IF(ISNA(VLOOKUP(CCTSAS[[#This Row],[Carrière]],DROPDOWN[Dropdown9],1,FALSE))=TRUE,"Carrière: Utiliser la liste déroulante",""))</f>
        <v/>
      </c>
      <c r="B458" s="554" t="str">
        <f>IF(CCTSAS[[#This Row],[Matricule]]="","",MAX($B$7:B457)+1)</f>
        <v/>
      </c>
      <c r="C458" s="8"/>
      <c r="D458" s="8"/>
      <c r="E458" s="20"/>
      <c r="F458" s="63"/>
      <c r="G458" s="8"/>
      <c r="H458" s="8"/>
      <c r="I458" s="10"/>
      <c r="J458" s="10"/>
      <c r="K458" s="9"/>
      <c r="L458" s="9"/>
      <c r="M458" s="9"/>
      <c r="N45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8" s="660"/>
      <c r="P458" s="660"/>
      <c r="Q458" s="461"/>
      <c r="R458" s="381"/>
      <c r="S458" s="37"/>
      <c r="T458" s="37"/>
      <c r="U458" s="37"/>
      <c r="V458" s="37"/>
      <c r="W458" s="37"/>
      <c r="X458" s="37"/>
      <c r="Y45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8" s="37"/>
      <c r="AA458" s="662" t="str">
        <f>IF(COUNTA(CCTSAS[[#This Row],[Nom]:[heures annuelles
selon contrat(s)]])=0,"",CCTSAS[[#This Row],[Total global]]-ABS(CCTSAS[[#This Row],[Dont non opposable]]))</f>
        <v/>
      </c>
      <c r="AB458" s="8"/>
      <c r="AC458" s="63"/>
      <c r="AD458" s="428"/>
      <c r="AE458" s="428"/>
      <c r="AF458" s="428"/>
      <c r="AG458" s="43"/>
      <c r="AH458" s="183" t="str">
        <f>IF(COUNTA(CCTSAS[[#This Row],[Nom]:[heures annuelles
selon contrat(s)]])=0,"",REVEX!$E$9)</f>
        <v/>
      </c>
      <c r="AI458" s="72" t="str">
        <f>IF(CCTSAS[[#This Row],[Allocation fonctions]]="","",IF(ISNA(VLOOKUP(CCTSAS[[#This Row],[Allocation fonctions]],DROPDOWN[Dropdown82],1,FALSE))=TRUE,"Veuillez utiliser les allocations parmis la liste déroulante.",""))</f>
        <v/>
      </c>
    </row>
    <row r="459" spans="1:35" x14ac:dyDescent="0.25">
      <c r="A459" s="72" t="str">
        <f>IF(CCTSAS[[#This Row],[Carrière]]="","",IF(ISNA(VLOOKUP(CCTSAS[[#This Row],[Carrière]],DROPDOWN[Dropdown9],1,FALSE))=TRUE,"Carrière: Utiliser la liste déroulante",""))</f>
        <v/>
      </c>
      <c r="B459" s="554" t="str">
        <f>IF(CCTSAS[[#This Row],[Matricule]]="","",MAX($B$7:B458)+1)</f>
        <v/>
      </c>
      <c r="C459" s="8"/>
      <c r="D459" s="8"/>
      <c r="E459" s="20"/>
      <c r="F459" s="63"/>
      <c r="G459" s="8"/>
      <c r="H459" s="8"/>
      <c r="I459" s="10"/>
      <c r="J459" s="10"/>
      <c r="K459" s="9"/>
      <c r="L459" s="9"/>
      <c r="M459" s="9"/>
      <c r="N45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59" s="660"/>
      <c r="P459" s="660"/>
      <c r="Q459" s="461"/>
      <c r="R459" s="381"/>
      <c r="S459" s="37"/>
      <c r="T459" s="37"/>
      <c r="U459" s="37"/>
      <c r="V459" s="37"/>
      <c r="W459" s="37"/>
      <c r="X459" s="37"/>
      <c r="Y45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59" s="37"/>
      <c r="AA459" s="662" t="str">
        <f>IF(COUNTA(CCTSAS[[#This Row],[Nom]:[heures annuelles
selon contrat(s)]])=0,"",CCTSAS[[#This Row],[Total global]]-ABS(CCTSAS[[#This Row],[Dont non opposable]]))</f>
        <v/>
      </c>
      <c r="AB459" s="8"/>
      <c r="AC459" s="63"/>
      <c r="AD459" s="428"/>
      <c r="AE459" s="428"/>
      <c r="AF459" s="428"/>
      <c r="AG459" s="43"/>
      <c r="AH459" s="183" t="str">
        <f>IF(COUNTA(CCTSAS[[#This Row],[Nom]:[heures annuelles
selon contrat(s)]])=0,"",REVEX!$E$9)</f>
        <v/>
      </c>
      <c r="AI459" s="72" t="str">
        <f>IF(CCTSAS[[#This Row],[Allocation fonctions]]="","",IF(ISNA(VLOOKUP(CCTSAS[[#This Row],[Allocation fonctions]],DROPDOWN[Dropdown82],1,FALSE))=TRUE,"Veuillez utiliser les allocations parmis la liste déroulante.",""))</f>
        <v/>
      </c>
    </row>
    <row r="460" spans="1:35" x14ac:dyDescent="0.25">
      <c r="A460" s="72" t="str">
        <f>IF(CCTSAS[[#This Row],[Carrière]]="","",IF(ISNA(VLOOKUP(CCTSAS[[#This Row],[Carrière]],DROPDOWN[Dropdown9],1,FALSE))=TRUE,"Carrière: Utiliser la liste déroulante",""))</f>
        <v/>
      </c>
      <c r="B460" s="554" t="str">
        <f>IF(CCTSAS[[#This Row],[Matricule]]="","",MAX($B$7:B459)+1)</f>
        <v/>
      </c>
      <c r="C460" s="8"/>
      <c r="D460" s="8"/>
      <c r="E460" s="20"/>
      <c r="F460" s="63"/>
      <c r="G460" s="8"/>
      <c r="H460" s="8"/>
      <c r="I460" s="10"/>
      <c r="J460" s="10"/>
      <c r="K460" s="9"/>
      <c r="L460" s="9"/>
      <c r="M460" s="9"/>
      <c r="N46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0" s="660"/>
      <c r="P460" s="660"/>
      <c r="Q460" s="461"/>
      <c r="R460" s="381"/>
      <c r="S460" s="37"/>
      <c r="T460" s="37"/>
      <c r="U460" s="37"/>
      <c r="V460" s="37"/>
      <c r="W460" s="37"/>
      <c r="X460" s="37"/>
      <c r="Y46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0" s="37"/>
      <c r="AA460" s="662" t="str">
        <f>IF(COUNTA(CCTSAS[[#This Row],[Nom]:[heures annuelles
selon contrat(s)]])=0,"",CCTSAS[[#This Row],[Total global]]-ABS(CCTSAS[[#This Row],[Dont non opposable]]))</f>
        <v/>
      </c>
      <c r="AB460" s="8"/>
      <c r="AC460" s="63"/>
      <c r="AD460" s="428"/>
      <c r="AE460" s="428"/>
      <c r="AF460" s="428"/>
      <c r="AG460" s="43"/>
      <c r="AH460" s="183" t="str">
        <f>IF(COUNTA(CCTSAS[[#This Row],[Nom]:[heures annuelles
selon contrat(s)]])=0,"",REVEX!$E$9)</f>
        <v/>
      </c>
      <c r="AI460" s="72" t="str">
        <f>IF(CCTSAS[[#This Row],[Allocation fonctions]]="","",IF(ISNA(VLOOKUP(CCTSAS[[#This Row],[Allocation fonctions]],DROPDOWN[Dropdown82],1,FALSE))=TRUE,"Veuillez utiliser les allocations parmis la liste déroulante.",""))</f>
        <v/>
      </c>
    </row>
    <row r="461" spans="1:35" x14ac:dyDescent="0.25">
      <c r="A461" s="72" t="str">
        <f>IF(CCTSAS[[#This Row],[Carrière]]="","",IF(ISNA(VLOOKUP(CCTSAS[[#This Row],[Carrière]],DROPDOWN[Dropdown9],1,FALSE))=TRUE,"Carrière: Utiliser la liste déroulante",""))</f>
        <v/>
      </c>
      <c r="B461" s="554" t="str">
        <f>IF(CCTSAS[[#This Row],[Matricule]]="","",MAX($B$7:B460)+1)</f>
        <v/>
      </c>
      <c r="C461" s="8"/>
      <c r="D461" s="8"/>
      <c r="E461" s="20"/>
      <c r="F461" s="63"/>
      <c r="G461" s="8"/>
      <c r="H461" s="8"/>
      <c r="I461" s="10"/>
      <c r="J461" s="10"/>
      <c r="K461" s="9"/>
      <c r="L461" s="9"/>
      <c r="M461" s="9"/>
      <c r="N46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1" s="660"/>
      <c r="P461" s="660"/>
      <c r="Q461" s="461"/>
      <c r="R461" s="381"/>
      <c r="S461" s="37"/>
      <c r="T461" s="37"/>
      <c r="U461" s="37"/>
      <c r="V461" s="37"/>
      <c r="W461" s="37"/>
      <c r="X461" s="37"/>
      <c r="Y46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1" s="37"/>
      <c r="AA461" s="662" t="str">
        <f>IF(COUNTA(CCTSAS[[#This Row],[Nom]:[heures annuelles
selon contrat(s)]])=0,"",CCTSAS[[#This Row],[Total global]]-ABS(CCTSAS[[#This Row],[Dont non opposable]]))</f>
        <v/>
      </c>
      <c r="AB461" s="8"/>
      <c r="AC461" s="63"/>
      <c r="AD461" s="428"/>
      <c r="AE461" s="428"/>
      <c r="AF461" s="428"/>
      <c r="AG461" s="43"/>
      <c r="AH461" s="183" t="str">
        <f>IF(COUNTA(CCTSAS[[#This Row],[Nom]:[heures annuelles
selon contrat(s)]])=0,"",REVEX!$E$9)</f>
        <v/>
      </c>
      <c r="AI461" s="72" t="str">
        <f>IF(CCTSAS[[#This Row],[Allocation fonctions]]="","",IF(ISNA(VLOOKUP(CCTSAS[[#This Row],[Allocation fonctions]],DROPDOWN[Dropdown82],1,FALSE))=TRUE,"Veuillez utiliser les allocations parmis la liste déroulante.",""))</f>
        <v/>
      </c>
    </row>
    <row r="462" spans="1:35" x14ac:dyDescent="0.25">
      <c r="A462" s="72" t="str">
        <f>IF(CCTSAS[[#This Row],[Carrière]]="","",IF(ISNA(VLOOKUP(CCTSAS[[#This Row],[Carrière]],DROPDOWN[Dropdown9],1,FALSE))=TRUE,"Carrière: Utiliser la liste déroulante",""))</f>
        <v/>
      </c>
      <c r="B462" s="554" t="str">
        <f>IF(CCTSAS[[#This Row],[Matricule]]="","",MAX($B$7:B461)+1)</f>
        <v/>
      </c>
      <c r="C462" s="8"/>
      <c r="D462" s="8"/>
      <c r="E462" s="20"/>
      <c r="F462" s="63"/>
      <c r="G462" s="8"/>
      <c r="H462" s="8"/>
      <c r="I462" s="10"/>
      <c r="J462" s="10"/>
      <c r="K462" s="9"/>
      <c r="L462" s="9"/>
      <c r="M462" s="9"/>
      <c r="N46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2" s="660"/>
      <c r="P462" s="660"/>
      <c r="Q462" s="461"/>
      <c r="R462" s="381"/>
      <c r="S462" s="37"/>
      <c r="T462" s="37"/>
      <c r="U462" s="37"/>
      <c r="V462" s="37"/>
      <c r="W462" s="37"/>
      <c r="X462" s="37"/>
      <c r="Y46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2" s="37"/>
      <c r="AA462" s="662" t="str">
        <f>IF(COUNTA(CCTSAS[[#This Row],[Nom]:[heures annuelles
selon contrat(s)]])=0,"",CCTSAS[[#This Row],[Total global]]-ABS(CCTSAS[[#This Row],[Dont non opposable]]))</f>
        <v/>
      </c>
      <c r="AB462" s="8"/>
      <c r="AC462" s="63"/>
      <c r="AD462" s="428"/>
      <c r="AE462" s="428"/>
      <c r="AF462" s="428"/>
      <c r="AG462" s="43"/>
      <c r="AH462" s="183" t="str">
        <f>IF(COUNTA(CCTSAS[[#This Row],[Nom]:[heures annuelles
selon contrat(s)]])=0,"",REVEX!$E$9)</f>
        <v/>
      </c>
      <c r="AI462" s="72" t="str">
        <f>IF(CCTSAS[[#This Row],[Allocation fonctions]]="","",IF(ISNA(VLOOKUP(CCTSAS[[#This Row],[Allocation fonctions]],DROPDOWN[Dropdown82],1,FALSE))=TRUE,"Veuillez utiliser les allocations parmis la liste déroulante.",""))</f>
        <v/>
      </c>
    </row>
    <row r="463" spans="1:35" x14ac:dyDescent="0.25">
      <c r="A463" s="72" t="str">
        <f>IF(CCTSAS[[#This Row],[Carrière]]="","",IF(ISNA(VLOOKUP(CCTSAS[[#This Row],[Carrière]],DROPDOWN[Dropdown9],1,FALSE))=TRUE,"Carrière: Utiliser la liste déroulante",""))</f>
        <v/>
      </c>
      <c r="B463" s="554" t="str">
        <f>IF(CCTSAS[[#This Row],[Matricule]]="","",MAX($B$7:B462)+1)</f>
        <v/>
      </c>
      <c r="C463" s="8"/>
      <c r="D463" s="8"/>
      <c r="E463" s="20"/>
      <c r="F463" s="63"/>
      <c r="G463" s="8"/>
      <c r="H463" s="8"/>
      <c r="I463" s="10"/>
      <c r="J463" s="10"/>
      <c r="K463" s="9"/>
      <c r="L463" s="9"/>
      <c r="M463" s="9"/>
      <c r="N46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3" s="660"/>
      <c r="P463" s="660"/>
      <c r="Q463" s="461"/>
      <c r="R463" s="381"/>
      <c r="S463" s="37"/>
      <c r="T463" s="37"/>
      <c r="U463" s="37"/>
      <c r="V463" s="37"/>
      <c r="W463" s="37"/>
      <c r="X463" s="37"/>
      <c r="Y46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3" s="37"/>
      <c r="AA463" s="662" t="str">
        <f>IF(COUNTA(CCTSAS[[#This Row],[Nom]:[heures annuelles
selon contrat(s)]])=0,"",CCTSAS[[#This Row],[Total global]]-ABS(CCTSAS[[#This Row],[Dont non opposable]]))</f>
        <v/>
      </c>
      <c r="AB463" s="8"/>
      <c r="AC463" s="63"/>
      <c r="AD463" s="428"/>
      <c r="AE463" s="428"/>
      <c r="AF463" s="428"/>
      <c r="AG463" s="43"/>
      <c r="AH463" s="183" t="str">
        <f>IF(COUNTA(CCTSAS[[#This Row],[Nom]:[heures annuelles
selon contrat(s)]])=0,"",REVEX!$E$9)</f>
        <v/>
      </c>
      <c r="AI463" s="72" t="str">
        <f>IF(CCTSAS[[#This Row],[Allocation fonctions]]="","",IF(ISNA(VLOOKUP(CCTSAS[[#This Row],[Allocation fonctions]],DROPDOWN[Dropdown82],1,FALSE))=TRUE,"Veuillez utiliser les allocations parmis la liste déroulante.",""))</f>
        <v/>
      </c>
    </row>
    <row r="464" spans="1:35" x14ac:dyDescent="0.25">
      <c r="A464" s="72" t="str">
        <f>IF(CCTSAS[[#This Row],[Carrière]]="","",IF(ISNA(VLOOKUP(CCTSAS[[#This Row],[Carrière]],DROPDOWN[Dropdown9],1,FALSE))=TRUE,"Carrière: Utiliser la liste déroulante",""))</f>
        <v/>
      </c>
      <c r="B464" s="554" t="str">
        <f>IF(CCTSAS[[#This Row],[Matricule]]="","",MAX($B$7:B463)+1)</f>
        <v/>
      </c>
      <c r="C464" s="8"/>
      <c r="D464" s="8"/>
      <c r="E464" s="20"/>
      <c r="F464" s="63"/>
      <c r="G464" s="8"/>
      <c r="H464" s="8"/>
      <c r="I464" s="10"/>
      <c r="J464" s="10"/>
      <c r="K464" s="9"/>
      <c r="L464" s="9"/>
      <c r="M464" s="9"/>
      <c r="N46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4" s="660"/>
      <c r="P464" s="660"/>
      <c r="Q464" s="461"/>
      <c r="R464" s="381"/>
      <c r="S464" s="37"/>
      <c r="T464" s="37"/>
      <c r="U464" s="37"/>
      <c r="V464" s="37"/>
      <c r="W464" s="37"/>
      <c r="X464" s="37"/>
      <c r="Y46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4" s="37"/>
      <c r="AA464" s="662" t="str">
        <f>IF(COUNTA(CCTSAS[[#This Row],[Nom]:[heures annuelles
selon contrat(s)]])=0,"",CCTSAS[[#This Row],[Total global]]-ABS(CCTSAS[[#This Row],[Dont non opposable]]))</f>
        <v/>
      </c>
      <c r="AB464" s="8"/>
      <c r="AC464" s="63"/>
      <c r="AD464" s="428"/>
      <c r="AE464" s="428"/>
      <c r="AF464" s="428"/>
      <c r="AG464" s="43"/>
      <c r="AH464" s="183" t="str">
        <f>IF(COUNTA(CCTSAS[[#This Row],[Nom]:[heures annuelles
selon contrat(s)]])=0,"",REVEX!$E$9)</f>
        <v/>
      </c>
      <c r="AI464" s="72" t="str">
        <f>IF(CCTSAS[[#This Row],[Allocation fonctions]]="","",IF(ISNA(VLOOKUP(CCTSAS[[#This Row],[Allocation fonctions]],DROPDOWN[Dropdown82],1,FALSE))=TRUE,"Veuillez utiliser les allocations parmis la liste déroulante.",""))</f>
        <v/>
      </c>
    </row>
    <row r="465" spans="1:35" x14ac:dyDescent="0.25">
      <c r="A465" s="72" t="str">
        <f>IF(CCTSAS[[#This Row],[Carrière]]="","",IF(ISNA(VLOOKUP(CCTSAS[[#This Row],[Carrière]],DROPDOWN[Dropdown9],1,FALSE))=TRUE,"Carrière: Utiliser la liste déroulante",""))</f>
        <v/>
      </c>
      <c r="B465" s="554" t="str">
        <f>IF(CCTSAS[[#This Row],[Matricule]]="","",MAX($B$7:B464)+1)</f>
        <v/>
      </c>
      <c r="C465" s="8"/>
      <c r="D465" s="8"/>
      <c r="E465" s="20"/>
      <c r="F465" s="63"/>
      <c r="G465" s="8"/>
      <c r="H465" s="8"/>
      <c r="I465" s="10"/>
      <c r="J465" s="10"/>
      <c r="K465" s="9"/>
      <c r="L465" s="9"/>
      <c r="M465" s="9"/>
      <c r="N46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5" s="660"/>
      <c r="P465" s="660"/>
      <c r="Q465" s="461"/>
      <c r="R465" s="381"/>
      <c r="S465" s="37"/>
      <c r="T465" s="37"/>
      <c r="U465" s="37"/>
      <c r="V465" s="37"/>
      <c r="W465" s="37"/>
      <c r="X465" s="37"/>
      <c r="Y46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5" s="37"/>
      <c r="AA465" s="662" t="str">
        <f>IF(COUNTA(CCTSAS[[#This Row],[Nom]:[heures annuelles
selon contrat(s)]])=0,"",CCTSAS[[#This Row],[Total global]]-ABS(CCTSAS[[#This Row],[Dont non opposable]]))</f>
        <v/>
      </c>
      <c r="AB465" s="8"/>
      <c r="AC465" s="63"/>
      <c r="AD465" s="428"/>
      <c r="AE465" s="428"/>
      <c r="AF465" s="428"/>
      <c r="AG465" s="43"/>
      <c r="AH465" s="183" t="str">
        <f>IF(COUNTA(CCTSAS[[#This Row],[Nom]:[heures annuelles
selon contrat(s)]])=0,"",REVEX!$E$9)</f>
        <v/>
      </c>
      <c r="AI465" s="72" t="str">
        <f>IF(CCTSAS[[#This Row],[Allocation fonctions]]="","",IF(ISNA(VLOOKUP(CCTSAS[[#This Row],[Allocation fonctions]],DROPDOWN[Dropdown82],1,FALSE))=TRUE,"Veuillez utiliser les allocations parmis la liste déroulante.",""))</f>
        <v/>
      </c>
    </row>
    <row r="466" spans="1:35" x14ac:dyDescent="0.25">
      <c r="A466" s="72" t="str">
        <f>IF(CCTSAS[[#This Row],[Carrière]]="","",IF(ISNA(VLOOKUP(CCTSAS[[#This Row],[Carrière]],DROPDOWN[Dropdown9],1,FALSE))=TRUE,"Carrière: Utiliser la liste déroulante",""))</f>
        <v/>
      </c>
      <c r="B466" s="554" t="str">
        <f>IF(CCTSAS[[#This Row],[Matricule]]="","",MAX($B$7:B465)+1)</f>
        <v/>
      </c>
      <c r="C466" s="8"/>
      <c r="D466" s="8"/>
      <c r="E466" s="20"/>
      <c r="F466" s="63"/>
      <c r="G466" s="8"/>
      <c r="H466" s="8"/>
      <c r="I466" s="10"/>
      <c r="J466" s="10"/>
      <c r="K466" s="9"/>
      <c r="L466" s="9"/>
      <c r="M466" s="9"/>
      <c r="N46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6" s="660"/>
      <c r="P466" s="660"/>
      <c r="Q466" s="461"/>
      <c r="R466" s="381"/>
      <c r="S466" s="37"/>
      <c r="T466" s="37"/>
      <c r="U466" s="37"/>
      <c r="V466" s="37"/>
      <c r="W466" s="37"/>
      <c r="X466" s="37"/>
      <c r="Y46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6" s="37"/>
      <c r="AA466" s="662" t="str">
        <f>IF(COUNTA(CCTSAS[[#This Row],[Nom]:[heures annuelles
selon contrat(s)]])=0,"",CCTSAS[[#This Row],[Total global]]-ABS(CCTSAS[[#This Row],[Dont non opposable]]))</f>
        <v/>
      </c>
      <c r="AB466" s="8"/>
      <c r="AC466" s="63"/>
      <c r="AD466" s="428"/>
      <c r="AE466" s="428"/>
      <c r="AF466" s="428"/>
      <c r="AG466" s="43"/>
      <c r="AH466" s="183" t="str">
        <f>IF(COUNTA(CCTSAS[[#This Row],[Nom]:[heures annuelles
selon contrat(s)]])=0,"",REVEX!$E$9)</f>
        <v/>
      </c>
      <c r="AI466" s="72" t="str">
        <f>IF(CCTSAS[[#This Row],[Allocation fonctions]]="","",IF(ISNA(VLOOKUP(CCTSAS[[#This Row],[Allocation fonctions]],DROPDOWN[Dropdown82],1,FALSE))=TRUE,"Veuillez utiliser les allocations parmis la liste déroulante.",""))</f>
        <v/>
      </c>
    </row>
    <row r="467" spans="1:35" x14ac:dyDescent="0.25">
      <c r="A467" s="72" t="str">
        <f>IF(CCTSAS[[#This Row],[Carrière]]="","",IF(ISNA(VLOOKUP(CCTSAS[[#This Row],[Carrière]],DROPDOWN[Dropdown9],1,FALSE))=TRUE,"Carrière: Utiliser la liste déroulante",""))</f>
        <v/>
      </c>
      <c r="B467" s="554" t="str">
        <f>IF(CCTSAS[[#This Row],[Matricule]]="","",MAX($B$7:B466)+1)</f>
        <v/>
      </c>
      <c r="C467" s="8"/>
      <c r="D467" s="8"/>
      <c r="E467" s="20"/>
      <c r="F467" s="63"/>
      <c r="G467" s="8"/>
      <c r="H467" s="8"/>
      <c r="I467" s="10"/>
      <c r="J467" s="10"/>
      <c r="K467" s="9"/>
      <c r="L467" s="9"/>
      <c r="M467" s="9"/>
      <c r="N46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7" s="660"/>
      <c r="P467" s="660"/>
      <c r="Q467" s="461"/>
      <c r="R467" s="381"/>
      <c r="S467" s="37"/>
      <c r="T467" s="37"/>
      <c r="U467" s="37"/>
      <c r="V467" s="37"/>
      <c r="W467" s="37"/>
      <c r="X467" s="37"/>
      <c r="Y46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7" s="37"/>
      <c r="AA467" s="662" t="str">
        <f>IF(COUNTA(CCTSAS[[#This Row],[Nom]:[heures annuelles
selon contrat(s)]])=0,"",CCTSAS[[#This Row],[Total global]]-ABS(CCTSAS[[#This Row],[Dont non opposable]]))</f>
        <v/>
      </c>
      <c r="AB467" s="8"/>
      <c r="AC467" s="63"/>
      <c r="AD467" s="428"/>
      <c r="AE467" s="428"/>
      <c r="AF467" s="428"/>
      <c r="AG467" s="43"/>
      <c r="AH467" s="183" t="str">
        <f>IF(COUNTA(CCTSAS[[#This Row],[Nom]:[heures annuelles
selon contrat(s)]])=0,"",REVEX!$E$9)</f>
        <v/>
      </c>
      <c r="AI467" s="72" t="str">
        <f>IF(CCTSAS[[#This Row],[Allocation fonctions]]="","",IF(ISNA(VLOOKUP(CCTSAS[[#This Row],[Allocation fonctions]],DROPDOWN[Dropdown82],1,FALSE))=TRUE,"Veuillez utiliser les allocations parmis la liste déroulante.",""))</f>
        <v/>
      </c>
    </row>
    <row r="468" spans="1:35" x14ac:dyDescent="0.25">
      <c r="A468" s="72" t="str">
        <f>IF(CCTSAS[[#This Row],[Carrière]]="","",IF(ISNA(VLOOKUP(CCTSAS[[#This Row],[Carrière]],DROPDOWN[Dropdown9],1,FALSE))=TRUE,"Carrière: Utiliser la liste déroulante",""))</f>
        <v/>
      </c>
      <c r="B468" s="554" t="str">
        <f>IF(CCTSAS[[#This Row],[Matricule]]="","",MAX($B$7:B467)+1)</f>
        <v/>
      </c>
      <c r="C468" s="8"/>
      <c r="D468" s="8"/>
      <c r="E468" s="20"/>
      <c r="F468" s="63"/>
      <c r="G468" s="8"/>
      <c r="H468" s="8"/>
      <c r="I468" s="10"/>
      <c r="J468" s="10"/>
      <c r="K468" s="9"/>
      <c r="L468" s="9"/>
      <c r="M468" s="9"/>
      <c r="N46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8" s="660"/>
      <c r="P468" s="660"/>
      <c r="Q468" s="461"/>
      <c r="R468" s="381"/>
      <c r="S468" s="37"/>
      <c r="T468" s="37"/>
      <c r="U468" s="37"/>
      <c r="V468" s="37"/>
      <c r="W468" s="37"/>
      <c r="X468" s="37"/>
      <c r="Y46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8" s="37"/>
      <c r="AA468" s="662" t="str">
        <f>IF(COUNTA(CCTSAS[[#This Row],[Nom]:[heures annuelles
selon contrat(s)]])=0,"",CCTSAS[[#This Row],[Total global]]-ABS(CCTSAS[[#This Row],[Dont non opposable]]))</f>
        <v/>
      </c>
      <c r="AB468" s="8"/>
      <c r="AC468" s="63"/>
      <c r="AD468" s="428"/>
      <c r="AE468" s="428"/>
      <c r="AF468" s="428"/>
      <c r="AG468" s="43"/>
      <c r="AH468" s="183" t="str">
        <f>IF(COUNTA(CCTSAS[[#This Row],[Nom]:[heures annuelles
selon contrat(s)]])=0,"",REVEX!$E$9)</f>
        <v/>
      </c>
      <c r="AI468" s="72" t="str">
        <f>IF(CCTSAS[[#This Row],[Allocation fonctions]]="","",IF(ISNA(VLOOKUP(CCTSAS[[#This Row],[Allocation fonctions]],DROPDOWN[Dropdown82],1,FALSE))=TRUE,"Veuillez utiliser les allocations parmis la liste déroulante.",""))</f>
        <v/>
      </c>
    </row>
    <row r="469" spans="1:35" x14ac:dyDescent="0.25">
      <c r="A469" s="72" t="str">
        <f>IF(CCTSAS[[#This Row],[Carrière]]="","",IF(ISNA(VLOOKUP(CCTSAS[[#This Row],[Carrière]],DROPDOWN[Dropdown9],1,FALSE))=TRUE,"Carrière: Utiliser la liste déroulante",""))</f>
        <v/>
      </c>
      <c r="B469" s="554" t="str">
        <f>IF(CCTSAS[[#This Row],[Matricule]]="","",MAX($B$7:B468)+1)</f>
        <v/>
      </c>
      <c r="C469" s="8"/>
      <c r="D469" s="8"/>
      <c r="E469" s="20"/>
      <c r="F469" s="63"/>
      <c r="G469" s="8"/>
      <c r="H469" s="8"/>
      <c r="I469" s="10"/>
      <c r="J469" s="10"/>
      <c r="K469" s="9"/>
      <c r="L469" s="9"/>
      <c r="M469" s="9"/>
      <c r="N46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69" s="660"/>
      <c r="P469" s="660"/>
      <c r="Q469" s="461"/>
      <c r="R469" s="381"/>
      <c r="S469" s="37"/>
      <c r="T469" s="37"/>
      <c r="U469" s="37"/>
      <c r="V469" s="37"/>
      <c r="W469" s="37"/>
      <c r="X469" s="37"/>
      <c r="Y46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69" s="37"/>
      <c r="AA469" s="662" t="str">
        <f>IF(COUNTA(CCTSAS[[#This Row],[Nom]:[heures annuelles
selon contrat(s)]])=0,"",CCTSAS[[#This Row],[Total global]]-ABS(CCTSAS[[#This Row],[Dont non opposable]]))</f>
        <v/>
      </c>
      <c r="AB469" s="8"/>
      <c r="AC469" s="63"/>
      <c r="AD469" s="428"/>
      <c r="AE469" s="428"/>
      <c r="AF469" s="428"/>
      <c r="AG469" s="43"/>
      <c r="AH469" s="183" t="str">
        <f>IF(COUNTA(CCTSAS[[#This Row],[Nom]:[heures annuelles
selon contrat(s)]])=0,"",REVEX!$E$9)</f>
        <v/>
      </c>
      <c r="AI469" s="72" t="str">
        <f>IF(CCTSAS[[#This Row],[Allocation fonctions]]="","",IF(ISNA(VLOOKUP(CCTSAS[[#This Row],[Allocation fonctions]],DROPDOWN[Dropdown82],1,FALSE))=TRUE,"Veuillez utiliser les allocations parmis la liste déroulante.",""))</f>
        <v/>
      </c>
    </row>
    <row r="470" spans="1:35" x14ac:dyDescent="0.25">
      <c r="A470" s="72" t="str">
        <f>IF(CCTSAS[[#This Row],[Carrière]]="","",IF(ISNA(VLOOKUP(CCTSAS[[#This Row],[Carrière]],DROPDOWN[Dropdown9],1,FALSE))=TRUE,"Carrière: Utiliser la liste déroulante",""))</f>
        <v/>
      </c>
      <c r="B470" s="554" t="str">
        <f>IF(CCTSAS[[#This Row],[Matricule]]="","",MAX($B$7:B469)+1)</f>
        <v/>
      </c>
      <c r="C470" s="8"/>
      <c r="D470" s="8"/>
      <c r="E470" s="20"/>
      <c r="F470" s="63"/>
      <c r="G470" s="8"/>
      <c r="H470" s="8"/>
      <c r="I470" s="10"/>
      <c r="J470" s="10"/>
      <c r="K470" s="9"/>
      <c r="L470" s="9"/>
      <c r="M470" s="9"/>
      <c r="N47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0" s="660"/>
      <c r="P470" s="660"/>
      <c r="Q470" s="461"/>
      <c r="R470" s="381"/>
      <c r="S470" s="37"/>
      <c r="T470" s="37"/>
      <c r="U470" s="37"/>
      <c r="V470" s="37"/>
      <c r="W470" s="37"/>
      <c r="X470" s="37"/>
      <c r="Y47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0" s="37"/>
      <c r="AA470" s="662" t="str">
        <f>IF(COUNTA(CCTSAS[[#This Row],[Nom]:[heures annuelles
selon contrat(s)]])=0,"",CCTSAS[[#This Row],[Total global]]-ABS(CCTSAS[[#This Row],[Dont non opposable]]))</f>
        <v/>
      </c>
      <c r="AB470" s="8"/>
      <c r="AC470" s="63"/>
      <c r="AD470" s="428"/>
      <c r="AE470" s="428"/>
      <c r="AF470" s="428"/>
      <c r="AG470" s="43"/>
      <c r="AH470" s="183" t="str">
        <f>IF(COUNTA(CCTSAS[[#This Row],[Nom]:[heures annuelles
selon contrat(s)]])=0,"",REVEX!$E$9)</f>
        <v/>
      </c>
      <c r="AI470" s="72" t="str">
        <f>IF(CCTSAS[[#This Row],[Allocation fonctions]]="","",IF(ISNA(VLOOKUP(CCTSAS[[#This Row],[Allocation fonctions]],DROPDOWN[Dropdown82],1,FALSE))=TRUE,"Veuillez utiliser les allocations parmis la liste déroulante.",""))</f>
        <v/>
      </c>
    </row>
    <row r="471" spans="1:35" x14ac:dyDescent="0.25">
      <c r="A471" s="72" t="str">
        <f>IF(CCTSAS[[#This Row],[Carrière]]="","",IF(ISNA(VLOOKUP(CCTSAS[[#This Row],[Carrière]],DROPDOWN[Dropdown9],1,FALSE))=TRUE,"Carrière: Utiliser la liste déroulante",""))</f>
        <v/>
      </c>
      <c r="B471" s="554" t="str">
        <f>IF(CCTSAS[[#This Row],[Matricule]]="","",MAX($B$7:B470)+1)</f>
        <v/>
      </c>
      <c r="C471" s="8"/>
      <c r="D471" s="8"/>
      <c r="E471" s="20"/>
      <c r="F471" s="63"/>
      <c r="G471" s="8"/>
      <c r="H471" s="8"/>
      <c r="I471" s="10"/>
      <c r="J471" s="10"/>
      <c r="K471" s="9"/>
      <c r="L471" s="9"/>
      <c r="M471" s="9"/>
      <c r="N47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1" s="660"/>
      <c r="P471" s="660"/>
      <c r="Q471" s="461"/>
      <c r="R471" s="381"/>
      <c r="S471" s="37"/>
      <c r="T471" s="37"/>
      <c r="U471" s="37"/>
      <c r="V471" s="37"/>
      <c r="W471" s="37"/>
      <c r="X471" s="37"/>
      <c r="Y47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1" s="37"/>
      <c r="AA471" s="662" t="str">
        <f>IF(COUNTA(CCTSAS[[#This Row],[Nom]:[heures annuelles
selon contrat(s)]])=0,"",CCTSAS[[#This Row],[Total global]]-ABS(CCTSAS[[#This Row],[Dont non opposable]]))</f>
        <v/>
      </c>
      <c r="AB471" s="8"/>
      <c r="AC471" s="63"/>
      <c r="AD471" s="428"/>
      <c r="AE471" s="428"/>
      <c r="AF471" s="428"/>
      <c r="AG471" s="43"/>
      <c r="AH471" s="183" t="str">
        <f>IF(COUNTA(CCTSAS[[#This Row],[Nom]:[heures annuelles
selon contrat(s)]])=0,"",REVEX!$E$9)</f>
        <v/>
      </c>
      <c r="AI471" s="72" t="str">
        <f>IF(CCTSAS[[#This Row],[Allocation fonctions]]="","",IF(ISNA(VLOOKUP(CCTSAS[[#This Row],[Allocation fonctions]],DROPDOWN[Dropdown82],1,FALSE))=TRUE,"Veuillez utiliser les allocations parmis la liste déroulante.",""))</f>
        <v/>
      </c>
    </row>
    <row r="472" spans="1:35" x14ac:dyDescent="0.25">
      <c r="A472" s="72" t="str">
        <f>IF(CCTSAS[[#This Row],[Carrière]]="","",IF(ISNA(VLOOKUP(CCTSAS[[#This Row],[Carrière]],DROPDOWN[Dropdown9],1,FALSE))=TRUE,"Carrière: Utiliser la liste déroulante",""))</f>
        <v/>
      </c>
      <c r="B472" s="554" t="str">
        <f>IF(CCTSAS[[#This Row],[Matricule]]="","",MAX($B$7:B471)+1)</f>
        <v/>
      </c>
      <c r="C472" s="8"/>
      <c r="D472" s="8"/>
      <c r="E472" s="20"/>
      <c r="F472" s="63"/>
      <c r="G472" s="8"/>
      <c r="H472" s="8"/>
      <c r="I472" s="10"/>
      <c r="J472" s="10"/>
      <c r="K472" s="9"/>
      <c r="L472" s="9"/>
      <c r="M472" s="9"/>
      <c r="N47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2" s="660"/>
      <c r="P472" s="660"/>
      <c r="Q472" s="461"/>
      <c r="R472" s="381"/>
      <c r="S472" s="37"/>
      <c r="T472" s="37"/>
      <c r="U472" s="37"/>
      <c r="V472" s="37"/>
      <c r="W472" s="37"/>
      <c r="X472" s="37"/>
      <c r="Y47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2" s="37"/>
      <c r="AA472" s="662" t="str">
        <f>IF(COUNTA(CCTSAS[[#This Row],[Nom]:[heures annuelles
selon contrat(s)]])=0,"",CCTSAS[[#This Row],[Total global]]-ABS(CCTSAS[[#This Row],[Dont non opposable]]))</f>
        <v/>
      </c>
      <c r="AB472" s="8"/>
      <c r="AC472" s="63"/>
      <c r="AD472" s="428"/>
      <c r="AE472" s="428"/>
      <c r="AF472" s="428"/>
      <c r="AG472" s="43"/>
      <c r="AH472" s="183" t="str">
        <f>IF(COUNTA(CCTSAS[[#This Row],[Nom]:[heures annuelles
selon contrat(s)]])=0,"",REVEX!$E$9)</f>
        <v/>
      </c>
      <c r="AI472" s="72" t="str">
        <f>IF(CCTSAS[[#This Row],[Allocation fonctions]]="","",IF(ISNA(VLOOKUP(CCTSAS[[#This Row],[Allocation fonctions]],DROPDOWN[Dropdown82],1,FALSE))=TRUE,"Veuillez utiliser les allocations parmis la liste déroulante.",""))</f>
        <v/>
      </c>
    </row>
    <row r="473" spans="1:35" x14ac:dyDescent="0.25">
      <c r="A473" s="72" t="str">
        <f>IF(CCTSAS[[#This Row],[Carrière]]="","",IF(ISNA(VLOOKUP(CCTSAS[[#This Row],[Carrière]],DROPDOWN[Dropdown9],1,FALSE))=TRUE,"Carrière: Utiliser la liste déroulante",""))</f>
        <v/>
      </c>
      <c r="B473" s="554" t="str">
        <f>IF(CCTSAS[[#This Row],[Matricule]]="","",MAX($B$7:B472)+1)</f>
        <v/>
      </c>
      <c r="C473" s="8"/>
      <c r="D473" s="8"/>
      <c r="E473" s="20"/>
      <c r="F473" s="63"/>
      <c r="G473" s="8"/>
      <c r="H473" s="8"/>
      <c r="I473" s="10"/>
      <c r="J473" s="10"/>
      <c r="K473" s="9"/>
      <c r="L473" s="9"/>
      <c r="M473" s="9"/>
      <c r="N47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3" s="660"/>
      <c r="P473" s="660"/>
      <c r="Q473" s="461"/>
      <c r="R473" s="381"/>
      <c r="S473" s="37"/>
      <c r="T473" s="37"/>
      <c r="U473" s="37"/>
      <c r="V473" s="37"/>
      <c r="W473" s="37"/>
      <c r="X473" s="37"/>
      <c r="Y47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3" s="37"/>
      <c r="AA473" s="662" t="str">
        <f>IF(COUNTA(CCTSAS[[#This Row],[Nom]:[heures annuelles
selon contrat(s)]])=0,"",CCTSAS[[#This Row],[Total global]]-ABS(CCTSAS[[#This Row],[Dont non opposable]]))</f>
        <v/>
      </c>
      <c r="AB473" s="8"/>
      <c r="AC473" s="63"/>
      <c r="AD473" s="428"/>
      <c r="AE473" s="428"/>
      <c r="AF473" s="428"/>
      <c r="AG473" s="43"/>
      <c r="AH473" s="183" t="str">
        <f>IF(COUNTA(CCTSAS[[#This Row],[Nom]:[heures annuelles
selon contrat(s)]])=0,"",REVEX!$E$9)</f>
        <v/>
      </c>
      <c r="AI473" s="72" t="str">
        <f>IF(CCTSAS[[#This Row],[Allocation fonctions]]="","",IF(ISNA(VLOOKUP(CCTSAS[[#This Row],[Allocation fonctions]],DROPDOWN[Dropdown82],1,FALSE))=TRUE,"Veuillez utiliser les allocations parmis la liste déroulante.",""))</f>
        <v/>
      </c>
    </row>
    <row r="474" spans="1:35" x14ac:dyDescent="0.25">
      <c r="A474" s="72" t="str">
        <f>IF(CCTSAS[[#This Row],[Carrière]]="","",IF(ISNA(VLOOKUP(CCTSAS[[#This Row],[Carrière]],DROPDOWN[Dropdown9],1,FALSE))=TRUE,"Carrière: Utiliser la liste déroulante",""))</f>
        <v/>
      </c>
      <c r="B474" s="554" t="str">
        <f>IF(CCTSAS[[#This Row],[Matricule]]="","",MAX($B$7:B473)+1)</f>
        <v/>
      </c>
      <c r="C474" s="8"/>
      <c r="D474" s="8"/>
      <c r="E474" s="20"/>
      <c r="F474" s="63"/>
      <c r="G474" s="8"/>
      <c r="H474" s="8"/>
      <c r="I474" s="10"/>
      <c r="J474" s="10"/>
      <c r="K474" s="9"/>
      <c r="L474" s="9"/>
      <c r="M474" s="9"/>
      <c r="N47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4" s="660"/>
      <c r="P474" s="660"/>
      <c r="Q474" s="461"/>
      <c r="R474" s="381"/>
      <c r="S474" s="37"/>
      <c r="T474" s="37"/>
      <c r="U474" s="37"/>
      <c r="V474" s="37"/>
      <c r="W474" s="37"/>
      <c r="X474" s="37"/>
      <c r="Y47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4" s="37"/>
      <c r="AA474" s="662" t="str">
        <f>IF(COUNTA(CCTSAS[[#This Row],[Nom]:[heures annuelles
selon contrat(s)]])=0,"",CCTSAS[[#This Row],[Total global]]-ABS(CCTSAS[[#This Row],[Dont non opposable]]))</f>
        <v/>
      </c>
      <c r="AB474" s="8"/>
      <c r="AC474" s="63"/>
      <c r="AD474" s="428"/>
      <c r="AE474" s="428"/>
      <c r="AF474" s="428"/>
      <c r="AG474" s="43"/>
      <c r="AH474" s="183" t="str">
        <f>IF(COUNTA(CCTSAS[[#This Row],[Nom]:[heures annuelles
selon contrat(s)]])=0,"",REVEX!$E$9)</f>
        <v/>
      </c>
      <c r="AI474" s="72" t="str">
        <f>IF(CCTSAS[[#This Row],[Allocation fonctions]]="","",IF(ISNA(VLOOKUP(CCTSAS[[#This Row],[Allocation fonctions]],DROPDOWN[Dropdown82],1,FALSE))=TRUE,"Veuillez utiliser les allocations parmis la liste déroulante.",""))</f>
        <v/>
      </c>
    </row>
    <row r="475" spans="1:35" x14ac:dyDescent="0.25">
      <c r="A475" s="72" t="str">
        <f>IF(CCTSAS[[#This Row],[Carrière]]="","",IF(ISNA(VLOOKUP(CCTSAS[[#This Row],[Carrière]],DROPDOWN[Dropdown9],1,FALSE))=TRUE,"Carrière: Utiliser la liste déroulante",""))</f>
        <v/>
      </c>
      <c r="B475" s="554" t="str">
        <f>IF(CCTSAS[[#This Row],[Matricule]]="","",MAX($B$7:B474)+1)</f>
        <v/>
      </c>
      <c r="C475" s="8"/>
      <c r="D475" s="8"/>
      <c r="E475" s="20"/>
      <c r="F475" s="63"/>
      <c r="G475" s="8"/>
      <c r="H475" s="8"/>
      <c r="I475" s="10"/>
      <c r="J475" s="10"/>
      <c r="K475" s="9"/>
      <c r="L475" s="9"/>
      <c r="M475" s="9"/>
      <c r="N47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5" s="660"/>
      <c r="P475" s="660"/>
      <c r="Q475" s="461"/>
      <c r="R475" s="381"/>
      <c r="S475" s="37"/>
      <c r="T475" s="37"/>
      <c r="U475" s="37"/>
      <c r="V475" s="37"/>
      <c r="W475" s="37"/>
      <c r="X475" s="37"/>
      <c r="Y47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5" s="37"/>
      <c r="AA475" s="662" t="str">
        <f>IF(COUNTA(CCTSAS[[#This Row],[Nom]:[heures annuelles
selon contrat(s)]])=0,"",CCTSAS[[#This Row],[Total global]]-ABS(CCTSAS[[#This Row],[Dont non opposable]]))</f>
        <v/>
      </c>
      <c r="AB475" s="8"/>
      <c r="AC475" s="63"/>
      <c r="AD475" s="428"/>
      <c r="AE475" s="428"/>
      <c r="AF475" s="428"/>
      <c r="AG475" s="43"/>
      <c r="AH475" s="183" t="str">
        <f>IF(COUNTA(CCTSAS[[#This Row],[Nom]:[heures annuelles
selon contrat(s)]])=0,"",REVEX!$E$9)</f>
        <v/>
      </c>
      <c r="AI475" s="72" t="str">
        <f>IF(CCTSAS[[#This Row],[Allocation fonctions]]="","",IF(ISNA(VLOOKUP(CCTSAS[[#This Row],[Allocation fonctions]],DROPDOWN[Dropdown82],1,FALSE))=TRUE,"Veuillez utiliser les allocations parmis la liste déroulante.",""))</f>
        <v/>
      </c>
    </row>
    <row r="476" spans="1:35" x14ac:dyDescent="0.25">
      <c r="A476" s="72" t="str">
        <f>IF(CCTSAS[[#This Row],[Carrière]]="","",IF(ISNA(VLOOKUP(CCTSAS[[#This Row],[Carrière]],DROPDOWN[Dropdown9],1,FALSE))=TRUE,"Carrière: Utiliser la liste déroulante",""))</f>
        <v/>
      </c>
      <c r="B476" s="554" t="str">
        <f>IF(CCTSAS[[#This Row],[Matricule]]="","",MAX($B$7:B475)+1)</f>
        <v/>
      </c>
      <c r="C476" s="8"/>
      <c r="D476" s="8"/>
      <c r="E476" s="20"/>
      <c r="F476" s="63"/>
      <c r="G476" s="8"/>
      <c r="H476" s="8"/>
      <c r="I476" s="10"/>
      <c r="J476" s="10"/>
      <c r="K476" s="9"/>
      <c r="L476" s="9"/>
      <c r="M476" s="9"/>
      <c r="N47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6" s="660"/>
      <c r="P476" s="660"/>
      <c r="Q476" s="461"/>
      <c r="R476" s="381"/>
      <c r="S476" s="37"/>
      <c r="T476" s="37"/>
      <c r="U476" s="37"/>
      <c r="V476" s="37"/>
      <c r="W476" s="37"/>
      <c r="X476" s="37"/>
      <c r="Y47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6" s="37"/>
      <c r="AA476" s="662" t="str">
        <f>IF(COUNTA(CCTSAS[[#This Row],[Nom]:[heures annuelles
selon contrat(s)]])=0,"",CCTSAS[[#This Row],[Total global]]-ABS(CCTSAS[[#This Row],[Dont non opposable]]))</f>
        <v/>
      </c>
      <c r="AB476" s="8"/>
      <c r="AC476" s="63"/>
      <c r="AD476" s="428"/>
      <c r="AE476" s="428"/>
      <c r="AF476" s="428"/>
      <c r="AG476" s="43"/>
      <c r="AH476" s="183" t="str">
        <f>IF(COUNTA(CCTSAS[[#This Row],[Nom]:[heures annuelles
selon contrat(s)]])=0,"",REVEX!$E$9)</f>
        <v/>
      </c>
      <c r="AI476" s="72" t="str">
        <f>IF(CCTSAS[[#This Row],[Allocation fonctions]]="","",IF(ISNA(VLOOKUP(CCTSAS[[#This Row],[Allocation fonctions]],DROPDOWN[Dropdown82],1,FALSE))=TRUE,"Veuillez utiliser les allocations parmis la liste déroulante.",""))</f>
        <v/>
      </c>
    </row>
    <row r="477" spans="1:35" x14ac:dyDescent="0.25">
      <c r="A477" s="72" t="str">
        <f>IF(CCTSAS[[#This Row],[Carrière]]="","",IF(ISNA(VLOOKUP(CCTSAS[[#This Row],[Carrière]],DROPDOWN[Dropdown9],1,FALSE))=TRUE,"Carrière: Utiliser la liste déroulante",""))</f>
        <v/>
      </c>
      <c r="B477" s="554" t="str">
        <f>IF(CCTSAS[[#This Row],[Matricule]]="","",MAX($B$7:B476)+1)</f>
        <v/>
      </c>
      <c r="C477" s="8"/>
      <c r="D477" s="8"/>
      <c r="E477" s="20"/>
      <c r="F477" s="63"/>
      <c r="G477" s="8"/>
      <c r="H477" s="8"/>
      <c r="I477" s="10"/>
      <c r="J477" s="10"/>
      <c r="K477" s="9"/>
      <c r="L477" s="9"/>
      <c r="M477" s="9"/>
      <c r="N47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7" s="660"/>
      <c r="P477" s="660"/>
      <c r="Q477" s="461"/>
      <c r="R477" s="381"/>
      <c r="S477" s="37"/>
      <c r="T477" s="37"/>
      <c r="U477" s="37"/>
      <c r="V477" s="37"/>
      <c r="W477" s="37"/>
      <c r="X477" s="37"/>
      <c r="Y47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7" s="37"/>
      <c r="AA477" s="662" t="str">
        <f>IF(COUNTA(CCTSAS[[#This Row],[Nom]:[heures annuelles
selon contrat(s)]])=0,"",CCTSAS[[#This Row],[Total global]]-ABS(CCTSAS[[#This Row],[Dont non opposable]]))</f>
        <v/>
      </c>
      <c r="AB477" s="8"/>
      <c r="AC477" s="63"/>
      <c r="AD477" s="428"/>
      <c r="AE477" s="428"/>
      <c r="AF477" s="428"/>
      <c r="AG477" s="43"/>
      <c r="AH477" s="183" t="str">
        <f>IF(COUNTA(CCTSAS[[#This Row],[Nom]:[heures annuelles
selon contrat(s)]])=0,"",REVEX!$E$9)</f>
        <v/>
      </c>
      <c r="AI477" s="72" t="str">
        <f>IF(CCTSAS[[#This Row],[Allocation fonctions]]="","",IF(ISNA(VLOOKUP(CCTSAS[[#This Row],[Allocation fonctions]],DROPDOWN[Dropdown82],1,FALSE))=TRUE,"Veuillez utiliser les allocations parmis la liste déroulante.",""))</f>
        <v/>
      </c>
    </row>
    <row r="478" spans="1:35" x14ac:dyDescent="0.25">
      <c r="A478" s="72" t="str">
        <f>IF(CCTSAS[[#This Row],[Carrière]]="","",IF(ISNA(VLOOKUP(CCTSAS[[#This Row],[Carrière]],DROPDOWN[Dropdown9],1,FALSE))=TRUE,"Carrière: Utiliser la liste déroulante",""))</f>
        <v/>
      </c>
      <c r="B478" s="554" t="str">
        <f>IF(CCTSAS[[#This Row],[Matricule]]="","",MAX($B$7:B477)+1)</f>
        <v/>
      </c>
      <c r="C478" s="8"/>
      <c r="D478" s="8"/>
      <c r="E478" s="20"/>
      <c r="F478" s="63"/>
      <c r="G478" s="8"/>
      <c r="H478" s="8"/>
      <c r="I478" s="10"/>
      <c r="J478" s="10"/>
      <c r="K478" s="9"/>
      <c r="L478" s="9"/>
      <c r="M478" s="9"/>
      <c r="N47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8" s="660"/>
      <c r="P478" s="660"/>
      <c r="Q478" s="461"/>
      <c r="R478" s="381"/>
      <c r="S478" s="37"/>
      <c r="T478" s="37"/>
      <c r="U478" s="37"/>
      <c r="V478" s="37"/>
      <c r="W478" s="37"/>
      <c r="X478" s="37"/>
      <c r="Y47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8" s="37"/>
      <c r="AA478" s="662" t="str">
        <f>IF(COUNTA(CCTSAS[[#This Row],[Nom]:[heures annuelles
selon contrat(s)]])=0,"",CCTSAS[[#This Row],[Total global]]-ABS(CCTSAS[[#This Row],[Dont non opposable]]))</f>
        <v/>
      </c>
      <c r="AB478" s="8"/>
      <c r="AC478" s="63"/>
      <c r="AD478" s="428"/>
      <c r="AE478" s="428"/>
      <c r="AF478" s="428"/>
      <c r="AG478" s="43"/>
      <c r="AH478" s="183" t="str">
        <f>IF(COUNTA(CCTSAS[[#This Row],[Nom]:[heures annuelles
selon contrat(s)]])=0,"",REVEX!$E$9)</f>
        <v/>
      </c>
      <c r="AI478" s="72" t="str">
        <f>IF(CCTSAS[[#This Row],[Allocation fonctions]]="","",IF(ISNA(VLOOKUP(CCTSAS[[#This Row],[Allocation fonctions]],DROPDOWN[Dropdown82],1,FALSE))=TRUE,"Veuillez utiliser les allocations parmis la liste déroulante.",""))</f>
        <v/>
      </c>
    </row>
    <row r="479" spans="1:35" x14ac:dyDescent="0.25">
      <c r="A479" s="72" t="str">
        <f>IF(CCTSAS[[#This Row],[Carrière]]="","",IF(ISNA(VLOOKUP(CCTSAS[[#This Row],[Carrière]],DROPDOWN[Dropdown9],1,FALSE))=TRUE,"Carrière: Utiliser la liste déroulante",""))</f>
        <v/>
      </c>
      <c r="B479" s="554" t="str">
        <f>IF(CCTSAS[[#This Row],[Matricule]]="","",MAX($B$7:B478)+1)</f>
        <v/>
      </c>
      <c r="C479" s="8"/>
      <c r="D479" s="8"/>
      <c r="E479" s="20"/>
      <c r="F479" s="63"/>
      <c r="G479" s="8"/>
      <c r="H479" s="8"/>
      <c r="I479" s="10"/>
      <c r="J479" s="10"/>
      <c r="K479" s="9"/>
      <c r="L479" s="9"/>
      <c r="M479" s="9"/>
      <c r="N47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79" s="660"/>
      <c r="P479" s="660"/>
      <c r="Q479" s="461"/>
      <c r="R479" s="381"/>
      <c r="S479" s="37"/>
      <c r="T479" s="37"/>
      <c r="U479" s="37"/>
      <c r="V479" s="37"/>
      <c r="W479" s="37"/>
      <c r="X479" s="37"/>
      <c r="Y47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79" s="37"/>
      <c r="AA479" s="662" t="str">
        <f>IF(COUNTA(CCTSAS[[#This Row],[Nom]:[heures annuelles
selon contrat(s)]])=0,"",CCTSAS[[#This Row],[Total global]]-ABS(CCTSAS[[#This Row],[Dont non opposable]]))</f>
        <v/>
      </c>
      <c r="AB479" s="8"/>
      <c r="AC479" s="63"/>
      <c r="AD479" s="428"/>
      <c r="AE479" s="428"/>
      <c r="AF479" s="428"/>
      <c r="AG479" s="43"/>
      <c r="AH479" s="183" t="str">
        <f>IF(COUNTA(CCTSAS[[#This Row],[Nom]:[heures annuelles
selon contrat(s)]])=0,"",REVEX!$E$9)</f>
        <v/>
      </c>
      <c r="AI479" s="72" t="str">
        <f>IF(CCTSAS[[#This Row],[Allocation fonctions]]="","",IF(ISNA(VLOOKUP(CCTSAS[[#This Row],[Allocation fonctions]],DROPDOWN[Dropdown82],1,FALSE))=TRUE,"Veuillez utiliser les allocations parmis la liste déroulante.",""))</f>
        <v/>
      </c>
    </row>
    <row r="480" spans="1:35" x14ac:dyDescent="0.25">
      <c r="A480" s="72" t="str">
        <f>IF(CCTSAS[[#This Row],[Carrière]]="","",IF(ISNA(VLOOKUP(CCTSAS[[#This Row],[Carrière]],DROPDOWN[Dropdown9],1,FALSE))=TRUE,"Carrière: Utiliser la liste déroulante",""))</f>
        <v/>
      </c>
      <c r="B480" s="554" t="str">
        <f>IF(CCTSAS[[#This Row],[Matricule]]="","",MAX($B$7:B479)+1)</f>
        <v/>
      </c>
      <c r="C480" s="8"/>
      <c r="D480" s="8"/>
      <c r="E480" s="20"/>
      <c r="F480" s="63"/>
      <c r="G480" s="8"/>
      <c r="H480" s="8"/>
      <c r="I480" s="10"/>
      <c r="J480" s="10"/>
      <c r="K480" s="9"/>
      <c r="L480" s="9"/>
      <c r="M480" s="9"/>
      <c r="N48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0" s="660"/>
      <c r="P480" s="660"/>
      <c r="Q480" s="461"/>
      <c r="R480" s="381"/>
      <c r="S480" s="37"/>
      <c r="T480" s="37"/>
      <c r="U480" s="37"/>
      <c r="V480" s="37"/>
      <c r="W480" s="37"/>
      <c r="X480" s="37"/>
      <c r="Y48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0" s="37"/>
      <c r="AA480" s="662" t="str">
        <f>IF(COUNTA(CCTSAS[[#This Row],[Nom]:[heures annuelles
selon contrat(s)]])=0,"",CCTSAS[[#This Row],[Total global]]-ABS(CCTSAS[[#This Row],[Dont non opposable]]))</f>
        <v/>
      </c>
      <c r="AB480" s="8"/>
      <c r="AC480" s="63"/>
      <c r="AD480" s="428"/>
      <c r="AE480" s="428"/>
      <c r="AF480" s="428"/>
      <c r="AG480" s="43"/>
      <c r="AH480" s="183" t="str">
        <f>IF(COUNTA(CCTSAS[[#This Row],[Nom]:[heures annuelles
selon contrat(s)]])=0,"",REVEX!$E$9)</f>
        <v/>
      </c>
      <c r="AI480" s="72" t="str">
        <f>IF(CCTSAS[[#This Row],[Allocation fonctions]]="","",IF(ISNA(VLOOKUP(CCTSAS[[#This Row],[Allocation fonctions]],DROPDOWN[Dropdown82],1,FALSE))=TRUE,"Veuillez utiliser les allocations parmis la liste déroulante.",""))</f>
        <v/>
      </c>
    </row>
    <row r="481" spans="1:35" x14ac:dyDescent="0.25">
      <c r="A481" s="72" t="str">
        <f>IF(CCTSAS[[#This Row],[Carrière]]="","",IF(ISNA(VLOOKUP(CCTSAS[[#This Row],[Carrière]],DROPDOWN[Dropdown9],1,FALSE))=TRUE,"Carrière: Utiliser la liste déroulante",""))</f>
        <v/>
      </c>
      <c r="B481" s="554" t="str">
        <f>IF(CCTSAS[[#This Row],[Matricule]]="","",MAX($B$7:B480)+1)</f>
        <v/>
      </c>
      <c r="C481" s="8"/>
      <c r="D481" s="8"/>
      <c r="E481" s="20"/>
      <c r="F481" s="63"/>
      <c r="G481" s="8"/>
      <c r="H481" s="8"/>
      <c r="I481" s="10"/>
      <c r="J481" s="10"/>
      <c r="K481" s="9"/>
      <c r="L481" s="9"/>
      <c r="M481" s="9"/>
      <c r="N48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1" s="660"/>
      <c r="P481" s="660"/>
      <c r="Q481" s="461"/>
      <c r="R481" s="381"/>
      <c r="S481" s="37"/>
      <c r="T481" s="37"/>
      <c r="U481" s="37"/>
      <c r="V481" s="37"/>
      <c r="W481" s="37"/>
      <c r="X481" s="37"/>
      <c r="Y48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1" s="37"/>
      <c r="AA481" s="662" t="str">
        <f>IF(COUNTA(CCTSAS[[#This Row],[Nom]:[heures annuelles
selon contrat(s)]])=0,"",CCTSAS[[#This Row],[Total global]]-ABS(CCTSAS[[#This Row],[Dont non opposable]]))</f>
        <v/>
      </c>
      <c r="AB481" s="8"/>
      <c r="AC481" s="63"/>
      <c r="AD481" s="428"/>
      <c r="AE481" s="428"/>
      <c r="AF481" s="428"/>
      <c r="AG481" s="43"/>
      <c r="AH481" s="183" t="str">
        <f>IF(COUNTA(CCTSAS[[#This Row],[Nom]:[heures annuelles
selon contrat(s)]])=0,"",REVEX!$E$9)</f>
        <v/>
      </c>
      <c r="AI481" s="72" t="str">
        <f>IF(CCTSAS[[#This Row],[Allocation fonctions]]="","",IF(ISNA(VLOOKUP(CCTSAS[[#This Row],[Allocation fonctions]],DROPDOWN[Dropdown82],1,FALSE))=TRUE,"Veuillez utiliser les allocations parmis la liste déroulante.",""))</f>
        <v/>
      </c>
    </row>
    <row r="482" spans="1:35" x14ac:dyDescent="0.25">
      <c r="A482" s="72" t="str">
        <f>IF(CCTSAS[[#This Row],[Carrière]]="","",IF(ISNA(VLOOKUP(CCTSAS[[#This Row],[Carrière]],DROPDOWN[Dropdown9],1,FALSE))=TRUE,"Carrière: Utiliser la liste déroulante",""))</f>
        <v/>
      </c>
      <c r="B482" s="554" t="str">
        <f>IF(CCTSAS[[#This Row],[Matricule]]="","",MAX($B$7:B481)+1)</f>
        <v/>
      </c>
      <c r="C482" s="8"/>
      <c r="D482" s="8"/>
      <c r="E482" s="20"/>
      <c r="F482" s="63"/>
      <c r="G482" s="8"/>
      <c r="H482" s="8"/>
      <c r="I482" s="10"/>
      <c r="J482" s="10"/>
      <c r="K482" s="9"/>
      <c r="L482" s="9"/>
      <c r="M482" s="9"/>
      <c r="N48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2" s="660"/>
      <c r="P482" s="660"/>
      <c r="Q482" s="461"/>
      <c r="R482" s="381"/>
      <c r="S482" s="37"/>
      <c r="T482" s="37"/>
      <c r="U482" s="37"/>
      <c r="V482" s="37"/>
      <c r="W482" s="37"/>
      <c r="X482" s="37"/>
      <c r="Y48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2" s="37"/>
      <c r="AA482" s="662" t="str">
        <f>IF(COUNTA(CCTSAS[[#This Row],[Nom]:[heures annuelles
selon contrat(s)]])=0,"",CCTSAS[[#This Row],[Total global]]-ABS(CCTSAS[[#This Row],[Dont non opposable]]))</f>
        <v/>
      </c>
      <c r="AB482" s="8"/>
      <c r="AC482" s="63"/>
      <c r="AD482" s="428"/>
      <c r="AE482" s="428"/>
      <c r="AF482" s="428"/>
      <c r="AG482" s="43"/>
      <c r="AH482" s="183" t="str">
        <f>IF(COUNTA(CCTSAS[[#This Row],[Nom]:[heures annuelles
selon contrat(s)]])=0,"",REVEX!$E$9)</f>
        <v/>
      </c>
      <c r="AI482" s="72" t="str">
        <f>IF(CCTSAS[[#This Row],[Allocation fonctions]]="","",IF(ISNA(VLOOKUP(CCTSAS[[#This Row],[Allocation fonctions]],DROPDOWN[Dropdown82],1,FALSE))=TRUE,"Veuillez utiliser les allocations parmis la liste déroulante.",""))</f>
        <v/>
      </c>
    </row>
    <row r="483" spans="1:35" x14ac:dyDescent="0.25">
      <c r="A483" s="72" t="str">
        <f>IF(CCTSAS[[#This Row],[Carrière]]="","",IF(ISNA(VLOOKUP(CCTSAS[[#This Row],[Carrière]],DROPDOWN[Dropdown9],1,FALSE))=TRUE,"Carrière: Utiliser la liste déroulante",""))</f>
        <v/>
      </c>
      <c r="B483" s="554" t="str">
        <f>IF(CCTSAS[[#This Row],[Matricule]]="","",MAX($B$7:B482)+1)</f>
        <v/>
      </c>
      <c r="C483" s="8"/>
      <c r="D483" s="8"/>
      <c r="E483" s="20"/>
      <c r="F483" s="63"/>
      <c r="G483" s="8"/>
      <c r="H483" s="8"/>
      <c r="I483" s="10"/>
      <c r="J483" s="10"/>
      <c r="K483" s="9"/>
      <c r="L483" s="9"/>
      <c r="M483" s="9"/>
      <c r="N48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3" s="660"/>
      <c r="P483" s="660"/>
      <c r="Q483" s="461"/>
      <c r="R483" s="381"/>
      <c r="S483" s="37"/>
      <c r="T483" s="37"/>
      <c r="U483" s="37"/>
      <c r="V483" s="37"/>
      <c r="W483" s="37"/>
      <c r="X483" s="37"/>
      <c r="Y48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3" s="37"/>
      <c r="AA483" s="662" t="str">
        <f>IF(COUNTA(CCTSAS[[#This Row],[Nom]:[heures annuelles
selon contrat(s)]])=0,"",CCTSAS[[#This Row],[Total global]]-ABS(CCTSAS[[#This Row],[Dont non opposable]]))</f>
        <v/>
      </c>
      <c r="AB483" s="8"/>
      <c r="AC483" s="63"/>
      <c r="AD483" s="428"/>
      <c r="AE483" s="428"/>
      <c r="AF483" s="428"/>
      <c r="AG483" s="43"/>
      <c r="AH483" s="183" t="str">
        <f>IF(COUNTA(CCTSAS[[#This Row],[Nom]:[heures annuelles
selon contrat(s)]])=0,"",REVEX!$E$9)</f>
        <v/>
      </c>
      <c r="AI483" s="72" t="str">
        <f>IF(CCTSAS[[#This Row],[Allocation fonctions]]="","",IF(ISNA(VLOOKUP(CCTSAS[[#This Row],[Allocation fonctions]],DROPDOWN[Dropdown82],1,FALSE))=TRUE,"Veuillez utiliser les allocations parmis la liste déroulante.",""))</f>
        <v/>
      </c>
    </row>
    <row r="484" spans="1:35" x14ac:dyDescent="0.25">
      <c r="A484" s="72" t="str">
        <f>IF(CCTSAS[[#This Row],[Carrière]]="","",IF(ISNA(VLOOKUP(CCTSAS[[#This Row],[Carrière]],DROPDOWN[Dropdown9],1,FALSE))=TRUE,"Carrière: Utiliser la liste déroulante",""))</f>
        <v/>
      </c>
      <c r="B484" s="554" t="str">
        <f>IF(CCTSAS[[#This Row],[Matricule]]="","",MAX($B$7:B483)+1)</f>
        <v/>
      </c>
      <c r="C484" s="8"/>
      <c r="D484" s="8"/>
      <c r="E484" s="20"/>
      <c r="F484" s="63"/>
      <c r="G484" s="8"/>
      <c r="H484" s="8"/>
      <c r="I484" s="10"/>
      <c r="J484" s="10"/>
      <c r="K484" s="9"/>
      <c r="L484" s="9"/>
      <c r="M484" s="9"/>
      <c r="N48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4" s="660"/>
      <c r="P484" s="660"/>
      <c r="Q484" s="461"/>
      <c r="R484" s="381"/>
      <c r="S484" s="37"/>
      <c r="T484" s="37"/>
      <c r="U484" s="37"/>
      <c r="V484" s="37"/>
      <c r="W484" s="37"/>
      <c r="X484" s="37"/>
      <c r="Y48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4" s="37"/>
      <c r="AA484" s="662" t="str">
        <f>IF(COUNTA(CCTSAS[[#This Row],[Nom]:[heures annuelles
selon contrat(s)]])=0,"",CCTSAS[[#This Row],[Total global]]-ABS(CCTSAS[[#This Row],[Dont non opposable]]))</f>
        <v/>
      </c>
      <c r="AB484" s="8"/>
      <c r="AC484" s="63"/>
      <c r="AD484" s="428"/>
      <c r="AE484" s="428"/>
      <c r="AF484" s="428"/>
      <c r="AG484" s="43"/>
      <c r="AH484" s="183" t="str">
        <f>IF(COUNTA(CCTSAS[[#This Row],[Nom]:[heures annuelles
selon contrat(s)]])=0,"",REVEX!$E$9)</f>
        <v/>
      </c>
      <c r="AI484" s="72" t="str">
        <f>IF(CCTSAS[[#This Row],[Allocation fonctions]]="","",IF(ISNA(VLOOKUP(CCTSAS[[#This Row],[Allocation fonctions]],DROPDOWN[Dropdown82],1,FALSE))=TRUE,"Veuillez utiliser les allocations parmis la liste déroulante.",""))</f>
        <v/>
      </c>
    </row>
    <row r="485" spans="1:35" x14ac:dyDescent="0.25">
      <c r="A485" s="72" t="str">
        <f>IF(CCTSAS[[#This Row],[Carrière]]="","",IF(ISNA(VLOOKUP(CCTSAS[[#This Row],[Carrière]],DROPDOWN[Dropdown9],1,FALSE))=TRUE,"Carrière: Utiliser la liste déroulante",""))</f>
        <v/>
      </c>
      <c r="B485" s="554" t="str">
        <f>IF(CCTSAS[[#This Row],[Matricule]]="","",MAX($B$7:B484)+1)</f>
        <v/>
      </c>
      <c r="C485" s="8"/>
      <c r="D485" s="8"/>
      <c r="E485" s="20"/>
      <c r="F485" s="63"/>
      <c r="G485" s="8"/>
      <c r="H485" s="8"/>
      <c r="I485" s="10"/>
      <c r="J485" s="10"/>
      <c r="K485" s="9"/>
      <c r="L485" s="9"/>
      <c r="M485" s="9"/>
      <c r="N48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5" s="660"/>
      <c r="P485" s="660"/>
      <c r="Q485" s="461"/>
      <c r="R485" s="381"/>
      <c r="S485" s="37"/>
      <c r="T485" s="37"/>
      <c r="U485" s="37"/>
      <c r="V485" s="37"/>
      <c r="W485" s="37"/>
      <c r="X485" s="37"/>
      <c r="Y48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5" s="37"/>
      <c r="AA485" s="662" t="str">
        <f>IF(COUNTA(CCTSAS[[#This Row],[Nom]:[heures annuelles
selon contrat(s)]])=0,"",CCTSAS[[#This Row],[Total global]]-ABS(CCTSAS[[#This Row],[Dont non opposable]]))</f>
        <v/>
      </c>
      <c r="AB485" s="8"/>
      <c r="AC485" s="63"/>
      <c r="AD485" s="428"/>
      <c r="AE485" s="428"/>
      <c r="AF485" s="428"/>
      <c r="AG485" s="43"/>
      <c r="AH485" s="183" t="str">
        <f>IF(COUNTA(CCTSAS[[#This Row],[Nom]:[heures annuelles
selon contrat(s)]])=0,"",REVEX!$E$9)</f>
        <v/>
      </c>
      <c r="AI485" s="72" t="str">
        <f>IF(CCTSAS[[#This Row],[Allocation fonctions]]="","",IF(ISNA(VLOOKUP(CCTSAS[[#This Row],[Allocation fonctions]],DROPDOWN[Dropdown82],1,FALSE))=TRUE,"Veuillez utiliser les allocations parmis la liste déroulante.",""))</f>
        <v/>
      </c>
    </row>
    <row r="486" spans="1:35" x14ac:dyDescent="0.25">
      <c r="A486" s="72" t="str">
        <f>IF(CCTSAS[[#This Row],[Carrière]]="","",IF(ISNA(VLOOKUP(CCTSAS[[#This Row],[Carrière]],DROPDOWN[Dropdown9],1,FALSE))=TRUE,"Carrière: Utiliser la liste déroulante",""))</f>
        <v/>
      </c>
      <c r="B486" s="554" t="str">
        <f>IF(CCTSAS[[#This Row],[Matricule]]="","",MAX($B$7:B485)+1)</f>
        <v/>
      </c>
      <c r="C486" s="8"/>
      <c r="D486" s="8"/>
      <c r="E486" s="20"/>
      <c r="F486" s="63"/>
      <c r="G486" s="8"/>
      <c r="H486" s="8"/>
      <c r="I486" s="10"/>
      <c r="J486" s="10"/>
      <c r="K486" s="9"/>
      <c r="L486" s="9"/>
      <c r="M486" s="9"/>
      <c r="N48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6" s="660"/>
      <c r="P486" s="660"/>
      <c r="Q486" s="461"/>
      <c r="R486" s="381"/>
      <c r="S486" s="37"/>
      <c r="T486" s="37"/>
      <c r="U486" s="37"/>
      <c r="V486" s="37"/>
      <c r="W486" s="37"/>
      <c r="X486" s="37"/>
      <c r="Y48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6" s="37"/>
      <c r="AA486" s="662" t="str">
        <f>IF(COUNTA(CCTSAS[[#This Row],[Nom]:[heures annuelles
selon contrat(s)]])=0,"",CCTSAS[[#This Row],[Total global]]-ABS(CCTSAS[[#This Row],[Dont non opposable]]))</f>
        <v/>
      </c>
      <c r="AB486" s="8"/>
      <c r="AC486" s="63"/>
      <c r="AD486" s="428"/>
      <c r="AE486" s="428"/>
      <c r="AF486" s="428"/>
      <c r="AG486" s="43"/>
      <c r="AH486" s="183" t="str">
        <f>IF(COUNTA(CCTSAS[[#This Row],[Nom]:[heures annuelles
selon contrat(s)]])=0,"",REVEX!$E$9)</f>
        <v/>
      </c>
      <c r="AI486" s="72" t="str">
        <f>IF(CCTSAS[[#This Row],[Allocation fonctions]]="","",IF(ISNA(VLOOKUP(CCTSAS[[#This Row],[Allocation fonctions]],DROPDOWN[Dropdown82],1,FALSE))=TRUE,"Veuillez utiliser les allocations parmis la liste déroulante.",""))</f>
        <v/>
      </c>
    </row>
    <row r="487" spans="1:35" x14ac:dyDescent="0.25">
      <c r="A487" s="72" t="str">
        <f>IF(CCTSAS[[#This Row],[Carrière]]="","",IF(ISNA(VLOOKUP(CCTSAS[[#This Row],[Carrière]],DROPDOWN[Dropdown9],1,FALSE))=TRUE,"Carrière: Utiliser la liste déroulante",""))</f>
        <v/>
      </c>
      <c r="B487" s="554" t="str">
        <f>IF(CCTSAS[[#This Row],[Matricule]]="","",MAX($B$7:B486)+1)</f>
        <v/>
      </c>
      <c r="C487" s="8"/>
      <c r="D487" s="8"/>
      <c r="E487" s="20"/>
      <c r="F487" s="63"/>
      <c r="G487" s="8"/>
      <c r="H487" s="8"/>
      <c r="I487" s="10"/>
      <c r="J487" s="10"/>
      <c r="K487" s="9"/>
      <c r="L487" s="9"/>
      <c r="M487" s="9"/>
      <c r="N48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7" s="660"/>
      <c r="P487" s="660"/>
      <c r="Q487" s="461"/>
      <c r="R487" s="381"/>
      <c r="S487" s="37"/>
      <c r="T487" s="37"/>
      <c r="U487" s="37"/>
      <c r="V487" s="37"/>
      <c r="W487" s="37"/>
      <c r="X487" s="37"/>
      <c r="Y48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7" s="37"/>
      <c r="AA487" s="662" t="str">
        <f>IF(COUNTA(CCTSAS[[#This Row],[Nom]:[heures annuelles
selon contrat(s)]])=0,"",CCTSAS[[#This Row],[Total global]]-ABS(CCTSAS[[#This Row],[Dont non opposable]]))</f>
        <v/>
      </c>
      <c r="AB487" s="8"/>
      <c r="AC487" s="63"/>
      <c r="AD487" s="428"/>
      <c r="AE487" s="428"/>
      <c r="AF487" s="428"/>
      <c r="AG487" s="43"/>
      <c r="AH487" s="183" t="str">
        <f>IF(COUNTA(CCTSAS[[#This Row],[Nom]:[heures annuelles
selon contrat(s)]])=0,"",REVEX!$E$9)</f>
        <v/>
      </c>
      <c r="AI487" s="72" t="str">
        <f>IF(CCTSAS[[#This Row],[Allocation fonctions]]="","",IF(ISNA(VLOOKUP(CCTSAS[[#This Row],[Allocation fonctions]],DROPDOWN[Dropdown82],1,FALSE))=TRUE,"Veuillez utiliser les allocations parmis la liste déroulante.",""))</f>
        <v/>
      </c>
    </row>
    <row r="488" spans="1:35" x14ac:dyDescent="0.25">
      <c r="A488" s="72" t="str">
        <f>IF(CCTSAS[[#This Row],[Carrière]]="","",IF(ISNA(VLOOKUP(CCTSAS[[#This Row],[Carrière]],DROPDOWN[Dropdown9],1,FALSE))=TRUE,"Carrière: Utiliser la liste déroulante",""))</f>
        <v/>
      </c>
      <c r="B488" s="554" t="str">
        <f>IF(CCTSAS[[#This Row],[Matricule]]="","",MAX($B$7:B487)+1)</f>
        <v/>
      </c>
      <c r="C488" s="8"/>
      <c r="D488" s="8"/>
      <c r="E488" s="20"/>
      <c r="F488" s="63"/>
      <c r="G488" s="8"/>
      <c r="H488" s="8"/>
      <c r="I488" s="10"/>
      <c r="J488" s="10"/>
      <c r="K488" s="9"/>
      <c r="L488" s="9"/>
      <c r="M488" s="9"/>
      <c r="N48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8" s="660"/>
      <c r="P488" s="660"/>
      <c r="Q488" s="461"/>
      <c r="R488" s="381"/>
      <c r="S488" s="37"/>
      <c r="T488" s="37"/>
      <c r="U488" s="37"/>
      <c r="V488" s="37"/>
      <c r="W488" s="37"/>
      <c r="X488" s="37"/>
      <c r="Y48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8" s="37"/>
      <c r="AA488" s="662" t="str">
        <f>IF(COUNTA(CCTSAS[[#This Row],[Nom]:[heures annuelles
selon contrat(s)]])=0,"",CCTSAS[[#This Row],[Total global]]-ABS(CCTSAS[[#This Row],[Dont non opposable]]))</f>
        <v/>
      </c>
      <c r="AB488" s="8"/>
      <c r="AC488" s="63"/>
      <c r="AD488" s="428"/>
      <c r="AE488" s="428"/>
      <c r="AF488" s="428"/>
      <c r="AG488" s="43"/>
      <c r="AH488" s="183" t="str">
        <f>IF(COUNTA(CCTSAS[[#This Row],[Nom]:[heures annuelles
selon contrat(s)]])=0,"",REVEX!$E$9)</f>
        <v/>
      </c>
      <c r="AI488" s="72" t="str">
        <f>IF(CCTSAS[[#This Row],[Allocation fonctions]]="","",IF(ISNA(VLOOKUP(CCTSAS[[#This Row],[Allocation fonctions]],DROPDOWN[Dropdown82],1,FALSE))=TRUE,"Veuillez utiliser les allocations parmis la liste déroulante.",""))</f>
        <v/>
      </c>
    </row>
    <row r="489" spans="1:35" x14ac:dyDescent="0.25">
      <c r="A489" s="72" t="str">
        <f>IF(CCTSAS[[#This Row],[Carrière]]="","",IF(ISNA(VLOOKUP(CCTSAS[[#This Row],[Carrière]],DROPDOWN[Dropdown9],1,FALSE))=TRUE,"Carrière: Utiliser la liste déroulante",""))</f>
        <v/>
      </c>
      <c r="B489" s="554" t="str">
        <f>IF(CCTSAS[[#This Row],[Matricule]]="","",MAX($B$7:B488)+1)</f>
        <v/>
      </c>
      <c r="C489" s="8"/>
      <c r="D489" s="8"/>
      <c r="E489" s="20"/>
      <c r="F489" s="63"/>
      <c r="G489" s="8"/>
      <c r="H489" s="8"/>
      <c r="I489" s="10"/>
      <c r="J489" s="10"/>
      <c r="K489" s="9"/>
      <c r="L489" s="9"/>
      <c r="M489" s="9"/>
      <c r="N48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89" s="660"/>
      <c r="P489" s="660"/>
      <c r="Q489" s="461"/>
      <c r="R489" s="381"/>
      <c r="S489" s="37"/>
      <c r="T489" s="37"/>
      <c r="U489" s="37"/>
      <c r="V489" s="37"/>
      <c r="W489" s="37"/>
      <c r="X489" s="37"/>
      <c r="Y48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89" s="37"/>
      <c r="AA489" s="662" t="str">
        <f>IF(COUNTA(CCTSAS[[#This Row],[Nom]:[heures annuelles
selon contrat(s)]])=0,"",CCTSAS[[#This Row],[Total global]]-ABS(CCTSAS[[#This Row],[Dont non opposable]]))</f>
        <v/>
      </c>
      <c r="AB489" s="8"/>
      <c r="AC489" s="63"/>
      <c r="AD489" s="428"/>
      <c r="AE489" s="428"/>
      <c r="AF489" s="428"/>
      <c r="AG489" s="43"/>
      <c r="AH489" s="183" t="str">
        <f>IF(COUNTA(CCTSAS[[#This Row],[Nom]:[heures annuelles
selon contrat(s)]])=0,"",REVEX!$E$9)</f>
        <v/>
      </c>
      <c r="AI489" s="72" t="str">
        <f>IF(CCTSAS[[#This Row],[Allocation fonctions]]="","",IF(ISNA(VLOOKUP(CCTSAS[[#This Row],[Allocation fonctions]],DROPDOWN[Dropdown82],1,FALSE))=TRUE,"Veuillez utiliser les allocations parmis la liste déroulante.",""))</f>
        <v/>
      </c>
    </row>
    <row r="490" spans="1:35" x14ac:dyDescent="0.25">
      <c r="A490" s="72" t="str">
        <f>IF(CCTSAS[[#This Row],[Carrière]]="","",IF(ISNA(VLOOKUP(CCTSAS[[#This Row],[Carrière]],DROPDOWN[Dropdown9],1,FALSE))=TRUE,"Carrière: Utiliser la liste déroulante",""))</f>
        <v/>
      </c>
      <c r="B490" s="554" t="str">
        <f>IF(CCTSAS[[#This Row],[Matricule]]="","",MAX($B$7:B489)+1)</f>
        <v/>
      </c>
      <c r="C490" s="8"/>
      <c r="D490" s="8"/>
      <c r="E490" s="20"/>
      <c r="F490" s="63"/>
      <c r="G490" s="8"/>
      <c r="H490" s="8"/>
      <c r="I490" s="10"/>
      <c r="J490" s="10"/>
      <c r="K490" s="9"/>
      <c r="L490" s="9"/>
      <c r="M490" s="9"/>
      <c r="N49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0" s="660"/>
      <c r="P490" s="660"/>
      <c r="Q490" s="461"/>
      <c r="R490" s="381"/>
      <c r="S490" s="37"/>
      <c r="T490" s="37"/>
      <c r="U490" s="37"/>
      <c r="V490" s="37"/>
      <c r="W490" s="37"/>
      <c r="X490" s="37"/>
      <c r="Y49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0" s="37"/>
      <c r="AA490" s="662" t="str">
        <f>IF(COUNTA(CCTSAS[[#This Row],[Nom]:[heures annuelles
selon contrat(s)]])=0,"",CCTSAS[[#This Row],[Total global]]-ABS(CCTSAS[[#This Row],[Dont non opposable]]))</f>
        <v/>
      </c>
      <c r="AB490" s="8"/>
      <c r="AC490" s="63"/>
      <c r="AD490" s="428"/>
      <c r="AE490" s="428"/>
      <c r="AF490" s="428"/>
      <c r="AG490" s="43"/>
      <c r="AH490" s="183" t="str">
        <f>IF(COUNTA(CCTSAS[[#This Row],[Nom]:[heures annuelles
selon contrat(s)]])=0,"",REVEX!$E$9)</f>
        <v/>
      </c>
      <c r="AI490" s="72" t="str">
        <f>IF(CCTSAS[[#This Row],[Allocation fonctions]]="","",IF(ISNA(VLOOKUP(CCTSAS[[#This Row],[Allocation fonctions]],DROPDOWN[Dropdown82],1,FALSE))=TRUE,"Veuillez utiliser les allocations parmis la liste déroulante.",""))</f>
        <v/>
      </c>
    </row>
    <row r="491" spans="1:35" x14ac:dyDescent="0.25">
      <c r="A491" s="72" t="str">
        <f>IF(CCTSAS[[#This Row],[Carrière]]="","",IF(ISNA(VLOOKUP(CCTSAS[[#This Row],[Carrière]],DROPDOWN[Dropdown9],1,FALSE))=TRUE,"Carrière: Utiliser la liste déroulante",""))</f>
        <v/>
      </c>
      <c r="B491" s="554" t="str">
        <f>IF(CCTSAS[[#This Row],[Matricule]]="","",MAX($B$7:B490)+1)</f>
        <v/>
      </c>
      <c r="C491" s="8"/>
      <c r="D491" s="8"/>
      <c r="E491" s="20"/>
      <c r="F491" s="63"/>
      <c r="G491" s="8"/>
      <c r="H491" s="8"/>
      <c r="I491" s="10"/>
      <c r="J491" s="10"/>
      <c r="K491" s="9"/>
      <c r="L491" s="9"/>
      <c r="M491" s="9"/>
      <c r="N49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1" s="660"/>
      <c r="P491" s="660"/>
      <c r="Q491" s="461"/>
      <c r="R491" s="381"/>
      <c r="S491" s="37"/>
      <c r="T491" s="37"/>
      <c r="U491" s="37"/>
      <c r="V491" s="37"/>
      <c r="W491" s="37"/>
      <c r="X491" s="37"/>
      <c r="Y49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1" s="37"/>
      <c r="AA491" s="662" t="str">
        <f>IF(COUNTA(CCTSAS[[#This Row],[Nom]:[heures annuelles
selon contrat(s)]])=0,"",CCTSAS[[#This Row],[Total global]]-ABS(CCTSAS[[#This Row],[Dont non opposable]]))</f>
        <v/>
      </c>
      <c r="AB491" s="8"/>
      <c r="AC491" s="63"/>
      <c r="AD491" s="428"/>
      <c r="AE491" s="428"/>
      <c r="AF491" s="428"/>
      <c r="AG491" s="43"/>
      <c r="AH491" s="183" t="str">
        <f>IF(COUNTA(CCTSAS[[#This Row],[Nom]:[heures annuelles
selon contrat(s)]])=0,"",REVEX!$E$9)</f>
        <v/>
      </c>
      <c r="AI491" s="72" t="str">
        <f>IF(CCTSAS[[#This Row],[Allocation fonctions]]="","",IF(ISNA(VLOOKUP(CCTSAS[[#This Row],[Allocation fonctions]],DROPDOWN[Dropdown82],1,FALSE))=TRUE,"Veuillez utiliser les allocations parmis la liste déroulante.",""))</f>
        <v/>
      </c>
    </row>
    <row r="492" spans="1:35" x14ac:dyDescent="0.25">
      <c r="A492" s="72" t="str">
        <f>IF(CCTSAS[[#This Row],[Carrière]]="","",IF(ISNA(VLOOKUP(CCTSAS[[#This Row],[Carrière]],DROPDOWN[Dropdown9],1,FALSE))=TRUE,"Carrière: Utiliser la liste déroulante",""))</f>
        <v/>
      </c>
      <c r="B492" s="554" t="str">
        <f>IF(CCTSAS[[#This Row],[Matricule]]="","",MAX($B$7:B491)+1)</f>
        <v/>
      </c>
      <c r="C492" s="8"/>
      <c r="D492" s="8"/>
      <c r="E492" s="20"/>
      <c r="F492" s="63"/>
      <c r="G492" s="8"/>
      <c r="H492" s="8"/>
      <c r="I492" s="10"/>
      <c r="J492" s="10"/>
      <c r="K492" s="9"/>
      <c r="L492" s="9"/>
      <c r="M492" s="9"/>
      <c r="N49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2" s="660"/>
      <c r="P492" s="660"/>
      <c r="Q492" s="461"/>
      <c r="R492" s="381"/>
      <c r="S492" s="37"/>
      <c r="T492" s="37"/>
      <c r="U492" s="37"/>
      <c r="V492" s="37"/>
      <c r="W492" s="37"/>
      <c r="X492" s="37"/>
      <c r="Y49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2" s="37"/>
      <c r="AA492" s="662" t="str">
        <f>IF(COUNTA(CCTSAS[[#This Row],[Nom]:[heures annuelles
selon contrat(s)]])=0,"",CCTSAS[[#This Row],[Total global]]-ABS(CCTSAS[[#This Row],[Dont non opposable]]))</f>
        <v/>
      </c>
      <c r="AB492" s="8"/>
      <c r="AC492" s="63"/>
      <c r="AD492" s="428"/>
      <c r="AE492" s="428"/>
      <c r="AF492" s="428"/>
      <c r="AG492" s="43"/>
      <c r="AH492" s="183" t="str">
        <f>IF(COUNTA(CCTSAS[[#This Row],[Nom]:[heures annuelles
selon contrat(s)]])=0,"",REVEX!$E$9)</f>
        <v/>
      </c>
      <c r="AI492" s="72" t="str">
        <f>IF(CCTSAS[[#This Row],[Allocation fonctions]]="","",IF(ISNA(VLOOKUP(CCTSAS[[#This Row],[Allocation fonctions]],DROPDOWN[Dropdown82],1,FALSE))=TRUE,"Veuillez utiliser les allocations parmis la liste déroulante.",""))</f>
        <v/>
      </c>
    </row>
    <row r="493" spans="1:35" x14ac:dyDescent="0.25">
      <c r="A493" s="72" t="str">
        <f>IF(CCTSAS[[#This Row],[Carrière]]="","",IF(ISNA(VLOOKUP(CCTSAS[[#This Row],[Carrière]],DROPDOWN[Dropdown9],1,FALSE))=TRUE,"Carrière: Utiliser la liste déroulante",""))</f>
        <v/>
      </c>
      <c r="B493" s="554" t="str">
        <f>IF(CCTSAS[[#This Row],[Matricule]]="","",MAX($B$7:B492)+1)</f>
        <v/>
      </c>
      <c r="C493" s="8"/>
      <c r="D493" s="8"/>
      <c r="E493" s="20"/>
      <c r="F493" s="63"/>
      <c r="G493" s="8"/>
      <c r="H493" s="8"/>
      <c r="I493" s="10"/>
      <c r="J493" s="10"/>
      <c r="K493" s="9"/>
      <c r="L493" s="9"/>
      <c r="M493" s="9"/>
      <c r="N49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3" s="660"/>
      <c r="P493" s="660"/>
      <c r="Q493" s="461"/>
      <c r="R493" s="381"/>
      <c r="S493" s="37"/>
      <c r="T493" s="37"/>
      <c r="U493" s="37"/>
      <c r="V493" s="37"/>
      <c r="W493" s="37"/>
      <c r="X493" s="37"/>
      <c r="Y49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3" s="37"/>
      <c r="AA493" s="662" t="str">
        <f>IF(COUNTA(CCTSAS[[#This Row],[Nom]:[heures annuelles
selon contrat(s)]])=0,"",CCTSAS[[#This Row],[Total global]]-ABS(CCTSAS[[#This Row],[Dont non opposable]]))</f>
        <v/>
      </c>
      <c r="AB493" s="8"/>
      <c r="AC493" s="63"/>
      <c r="AD493" s="428"/>
      <c r="AE493" s="428"/>
      <c r="AF493" s="428"/>
      <c r="AG493" s="43"/>
      <c r="AH493" s="183" t="str">
        <f>IF(COUNTA(CCTSAS[[#This Row],[Nom]:[heures annuelles
selon contrat(s)]])=0,"",REVEX!$E$9)</f>
        <v/>
      </c>
      <c r="AI493" s="72" t="str">
        <f>IF(CCTSAS[[#This Row],[Allocation fonctions]]="","",IF(ISNA(VLOOKUP(CCTSAS[[#This Row],[Allocation fonctions]],DROPDOWN[Dropdown82],1,FALSE))=TRUE,"Veuillez utiliser les allocations parmis la liste déroulante.",""))</f>
        <v/>
      </c>
    </row>
    <row r="494" spans="1:35" x14ac:dyDescent="0.25">
      <c r="A494" s="72" t="str">
        <f>IF(CCTSAS[[#This Row],[Carrière]]="","",IF(ISNA(VLOOKUP(CCTSAS[[#This Row],[Carrière]],DROPDOWN[Dropdown9],1,FALSE))=TRUE,"Carrière: Utiliser la liste déroulante",""))</f>
        <v/>
      </c>
      <c r="B494" s="554" t="str">
        <f>IF(CCTSAS[[#This Row],[Matricule]]="","",MAX($B$7:B493)+1)</f>
        <v/>
      </c>
      <c r="C494" s="8"/>
      <c r="D494" s="8"/>
      <c r="E494" s="20"/>
      <c r="F494" s="63"/>
      <c r="G494" s="8"/>
      <c r="H494" s="8"/>
      <c r="I494" s="10"/>
      <c r="J494" s="10"/>
      <c r="K494" s="9"/>
      <c r="L494" s="9"/>
      <c r="M494" s="9"/>
      <c r="N49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4" s="660"/>
      <c r="P494" s="660"/>
      <c r="Q494" s="461"/>
      <c r="R494" s="381"/>
      <c r="S494" s="37"/>
      <c r="T494" s="37"/>
      <c r="U494" s="37"/>
      <c r="V494" s="37"/>
      <c r="W494" s="37"/>
      <c r="X494" s="37"/>
      <c r="Y49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4" s="37"/>
      <c r="AA494" s="662" t="str">
        <f>IF(COUNTA(CCTSAS[[#This Row],[Nom]:[heures annuelles
selon contrat(s)]])=0,"",CCTSAS[[#This Row],[Total global]]-ABS(CCTSAS[[#This Row],[Dont non opposable]]))</f>
        <v/>
      </c>
      <c r="AB494" s="8"/>
      <c r="AC494" s="63"/>
      <c r="AD494" s="428"/>
      <c r="AE494" s="428"/>
      <c r="AF494" s="428"/>
      <c r="AG494" s="43"/>
      <c r="AH494" s="183" t="str">
        <f>IF(COUNTA(CCTSAS[[#This Row],[Nom]:[heures annuelles
selon contrat(s)]])=0,"",REVEX!$E$9)</f>
        <v/>
      </c>
      <c r="AI494" s="72" t="str">
        <f>IF(CCTSAS[[#This Row],[Allocation fonctions]]="","",IF(ISNA(VLOOKUP(CCTSAS[[#This Row],[Allocation fonctions]],DROPDOWN[Dropdown82],1,FALSE))=TRUE,"Veuillez utiliser les allocations parmis la liste déroulante.",""))</f>
        <v/>
      </c>
    </row>
    <row r="495" spans="1:35" x14ac:dyDescent="0.25">
      <c r="A495" s="72" t="str">
        <f>IF(CCTSAS[[#This Row],[Carrière]]="","",IF(ISNA(VLOOKUP(CCTSAS[[#This Row],[Carrière]],DROPDOWN[Dropdown9],1,FALSE))=TRUE,"Carrière: Utiliser la liste déroulante",""))</f>
        <v/>
      </c>
      <c r="B495" s="554" t="str">
        <f>IF(CCTSAS[[#This Row],[Matricule]]="","",MAX($B$7:B494)+1)</f>
        <v/>
      </c>
      <c r="C495" s="8"/>
      <c r="D495" s="8"/>
      <c r="E495" s="20"/>
      <c r="F495" s="63"/>
      <c r="G495" s="8"/>
      <c r="H495" s="8"/>
      <c r="I495" s="10"/>
      <c r="J495" s="10"/>
      <c r="K495" s="9"/>
      <c r="L495" s="9"/>
      <c r="M495" s="9"/>
      <c r="N49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5" s="660"/>
      <c r="P495" s="660"/>
      <c r="Q495" s="461"/>
      <c r="R495" s="381"/>
      <c r="S495" s="37"/>
      <c r="T495" s="37"/>
      <c r="U495" s="37"/>
      <c r="V495" s="37"/>
      <c r="W495" s="37"/>
      <c r="X495" s="37"/>
      <c r="Y49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5" s="37"/>
      <c r="AA495" s="662" t="str">
        <f>IF(COUNTA(CCTSAS[[#This Row],[Nom]:[heures annuelles
selon contrat(s)]])=0,"",CCTSAS[[#This Row],[Total global]]-ABS(CCTSAS[[#This Row],[Dont non opposable]]))</f>
        <v/>
      </c>
      <c r="AB495" s="8"/>
      <c r="AC495" s="63"/>
      <c r="AD495" s="428"/>
      <c r="AE495" s="428"/>
      <c r="AF495" s="428"/>
      <c r="AG495" s="43"/>
      <c r="AH495" s="183" t="str">
        <f>IF(COUNTA(CCTSAS[[#This Row],[Nom]:[heures annuelles
selon contrat(s)]])=0,"",REVEX!$E$9)</f>
        <v/>
      </c>
      <c r="AI495" s="72" t="str">
        <f>IF(CCTSAS[[#This Row],[Allocation fonctions]]="","",IF(ISNA(VLOOKUP(CCTSAS[[#This Row],[Allocation fonctions]],DROPDOWN[Dropdown82],1,FALSE))=TRUE,"Veuillez utiliser les allocations parmis la liste déroulante.",""))</f>
        <v/>
      </c>
    </row>
    <row r="496" spans="1:35" x14ac:dyDescent="0.25">
      <c r="A496" s="72" t="str">
        <f>IF(CCTSAS[[#This Row],[Carrière]]="","",IF(ISNA(VLOOKUP(CCTSAS[[#This Row],[Carrière]],DROPDOWN[Dropdown9],1,FALSE))=TRUE,"Carrière: Utiliser la liste déroulante",""))</f>
        <v/>
      </c>
      <c r="B496" s="554" t="str">
        <f>IF(CCTSAS[[#This Row],[Matricule]]="","",MAX($B$7:B495)+1)</f>
        <v/>
      </c>
      <c r="C496" s="8"/>
      <c r="D496" s="8"/>
      <c r="E496" s="20"/>
      <c r="F496" s="63"/>
      <c r="G496" s="8"/>
      <c r="H496" s="8"/>
      <c r="I496" s="10"/>
      <c r="J496" s="10"/>
      <c r="K496" s="9"/>
      <c r="L496" s="9"/>
      <c r="M496" s="9"/>
      <c r="N49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6" s="660"/>
      <c r="P496" s="660"/>
      <c r="Q496" s="461"/>
      <c r="R496" s="381"/>
      <c r="S496" s="37"/>
      <c r="T496" s="37"/>
      <c r="U496" s="37"/>
      <c r="V496" s="37"/>
      <c r="W496" s="37"/>
      <c r="X496" s="37"/>
      <c r="Y49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6" s="37"/>
      <c r="AA496" s="662" t="str">
        <f>IF(COUNTA(CCTSAS[[#This Row],[Nom]:[heures annuelles
selon contrat(s)]])=0,"",CCTSAS[[#This Row],[Total global]]-ABS(CCTSAS[[#This Row],[Dont non opposable]]))</f>
        <v/>
      </c>
      <c r="AB496" s="8"/>
      <c r="AC496" s="63"/>
      <c r="AD496" s="428"/>
      <c r="AE496" s="428"/>
      <c r="AF496" s="428"/>
      <c r="AG496" s="43"/>
      <c r="AH496" s="183" t="str">
        <f>IF(COUNTA(CCTSAS[[#This Row],[Nom]:[heures annuelles
selon contrat(s)]])=0,"",REVEX!$E$9)</f>
        <v/>
      </c>
      <c r="AI496" s="72" t="str">
        <f>IF(CCTSAS[[#This Row],[Allocation fonctions]]="","",IF(ISNA(VLOOKUP(CCTSAS[[#This Row],[Allocation fonctions]],DROPDOWN[Dropdown82],1,FALSE))=TRUE,"Veuillez utiliser les allocations parmis la liste déroulante.",""))</f>
        <v/>
      </c>
    </row>
    <row r="497" spans="1:35" x14ac:dyDescent="0.25">
      <c r="A497" s="72" t="str">
        <f>IF(CCTSAS[[#This Row],[Carrière]]="","",IF(ISNA(VLOOKUP(CCTSAS[[#This Row],[Carrière]],DROPDOWN[Dropdown9],1,FALSE))=TRUE,"Carrière: Utiliser la liste déroulante",""))</f>
        <v/>
      </c>
      <c r="B497" s="554" t="str">
        <f>IF(CCTSAS[[#This Row],[Matricule]]="","",MAX($B$7:B496)+1)</f>
        <v/>
      </c>
      <c r="C497" s="8"/>
      <c r="D497" s="8"/>
      <c r="E497" s="20"/>
      <c r="F497" s="63"/>
      <c r="G497" s="8"/>
      <c r="H497" s="8"/>
      <c r="I497" s="10"/>
      <c r="J497" s="10"/>
      <c r="K497" s="9"/>
      <c r="L497" s="9"/>
      <c r="M497" s="9"/>
      <c r="N49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7" s="660"/>
      <c r="P497" s="660"/>
      <c r="Q497" s="461"/>
      <c r="R497" s="381"/>
      <c r="S497" s="37"/>
      <c r="T497" s="37"/>
      <c r="U497" s="37"/>
      <c r="V497" s="37"/>
      <c r="W497" s="37"/>
      <c r="X497" s="37"/>
      <c r="Y49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7" s="37"/>
      <c r="AA497" s="662" t="str">
        <f>IF(COUNTA(CCTSAS[[#This Row],[Nom]:[heures annuelles
selon contrat(s)]])=0,"",CCTSAS[[#This Row],[Total global]]-ABS(CCTSAS[[#This Row],[Dont non opposable]]))</f>
        <v/>
      </c>
      <c r="AB497" s="8"/>
      <c r="AC497" s="63"/>
      <c r="AD497" s="428"/>
      <c r="AE497" s="428"/>
      <c r="AF497" s="428"/>
      <c r="AG497" s="43"/>
      <c r="AH497" s="183" t="str">
        <f>IF(COUNTA(CCTSAS[[#This Row],[Nom]:[heures annuelles
selon contrat(s)]])=0,"",REVEX!$E$9)</f>
        <v/>
      </c>
      <c r="AI497" s="72" t="str">
        <f>IF(CCTSAS[[#This Row],[Allocation fonctions]]="","",IF(ISNA(VLOOKUP(CCTSAS[[#This Row],[Allocation fonctions]],DROPDOWN[Dropdown82],1,FALSE))=TRUE,"Veuillez utiliser les allocations parmis la liste déroulante.",""))</f>
        <v/>
      </c>
    </row>
    <row r="498" spans="1:35" x14ac:dyDescent="0.25">
      <c r="A498" s="72" t="str">
        <f>IF(CCTSAS[[#This Row],[Carrière]]="","",IF(ISNA(VLOOKUP(CCTSAS[[#This Row],[Carrière]],DROPDOWN[Dropdown9],1,FALSE))=TRUE,"Carrière: Utiliser la liste déroulante",""))</f>
        <v/>
      </c>
      <c r="B498" s="554" t="str">
        <f>IF(CCTSAS[[#This Row],[Matricule]]="","",MAX($B$7:B497)+1)</f>
        <v/>
      </c>
      <c r="C498" s="8"/>
      <c r="D498" s="8"/>
      <c r="E498" s="20"/>
      <c r="F498" s="63"/>
      <c r="G498" s="8"/>
      <c r="H498" s="8"/>
      <c r="I498" s="10"/>
      <c r="J498" s="10"/>
      <c r="K498" s="9"/>
      <c r="L498" s="9"/>
      <c r="M498" s="9"/>
      <c r="N49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8" s="660"/>
      <c r="P498" s="660"/>
      <c r="Q498" s="461"/>
      <c r="R498" s="381"/>
      <c r="S498" s="37"/>
      <c r="T498" s="37"/>
      <c r="U498" s="37"/>
      <c r="V498" s="37"/>
      <c r="W498" s="37"/>
      <c r="X498" s="37"/>
      <c r="Y49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8" s="37"/>
      <c r="AA498" s="662" t="str">
        <f>IF(COUNTA(CCTSAS[[#This Row],[Nom]:[heures annuelles
selon contrat(s)]])=0,"",CCTSAS[[#This Row],[Total global]]-ABS(CCTSAS[[#This Row],[Dont non opposable]]))</f>
        <v/>
      </c>
      <c r="AB498" s="8"/>
      <c r="AC498" s="63"/>
      <c r="AD498" s="428"/>
      <c r="AE498" s="428"/>
      <c r="AF498" s="428"/>
      <c r="AG498" s="43"/>
      <c r="AH498" s="183" t="str">
        <f>IF(COUNTA(CCTSAS[[#This Row],[Nom]:[heures annuelles
selon contrat(s)]])=0,"",REVEX!$E$9)</f>
        <v/>
      </c>
      <c r="AI498" s="72" t="str">
        <f>IF(CCTSAS[[#This Row],[Allocation fonctions]]="","",IF(ISNA(VLOOKUP(CCTSAS[[#This Row],[Allocation fonctions]],DROPDOWN[Dropdown82],1,FALSE))=TRUE,"Veuillez utiliser les allocations parmis la liste déroulante.",""))</f>
        <v/>
      </c>
    </row>
    <row r="499" spans="1:35" x14ac:dyDescent="0.25">
      <c r="A499" s="72" t="str">
        <f>IF(CCTSAS[[#This Row],[Carrière]]="","",IF(ISNA(VLOOKUP(CCTSAS[[#This Row],[Carrière]],DROPDOWN[Dropdown9],1,FALSE))=TRUE,"Carrière: Utiliser la liste déroulante",""))</f>
        <v/>
      </c>
      <c r="B499" s="554" t="str">
        <f>IF(CCTSAS[[#This Row],[Matricule]]="","",MAX($B$7:B498)+1)</f>
        <v/>
      </c>
      <c r="C499" s="8"/>
      <c r="D499" s="8"/>
      <c r="E499" s="20"/>
      <c r="F499" s="63"/>
      <c r="G499" s="8"/>
      <c r="H499" s="8"/>
      <c r="I499" s="10"/>
      <c r="J499" s="10"/>
      <c r="K499" s="9"/>
      <c r="L499" s="9"/>
      <c r="M499" s="9"/>
      <c r="N49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499" s="660"/>
      <c r="P499" s="660"/>
      <c r="Q499" s="461"/>
      <c r="R499" s="381"/>
      <c r="S499" s="37"/>
      <c r="T499" s="37"/>
      <c r="U499" s="37"/>
      <c r="V499" s="37"/>
      <c r="W499" s="37"/>
      <c r="X499" s="37"/>
      <c r="Y49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499" s="37"/>
      <c r="AA499" s="662" t="str">
        <f>IF(COUNTA(CCTSAS[[#This Row],[Nom]:[heures annuelles
selon contrat(s)]])=0,"",CCTSAS[[#This Row],[Total global]]-ABS(CCTSAS[[#This Row],[Dont non opposable]]))</f>
        <v/>
      </c>
      <c r="AB499" s="8"/>
      <c r="AC499" s="63"/>
      <c r="AD499" s="428"/>
      <c r="AE499" s="428"/>
      <c r="AF499" s="428"/>
      <c r="AG499" s="43"/>
      <c r="AH499" s="183" t="str">
        <f>IF(COUNTA(CCTSAS[[#This Row],[Nom]:[heures annuelles
selon contrat(s)]])=0,"",REVEX!$E$9)</f>
        <v/>
      </c>
      <c r="AI499" s="72" t="str">
        <f>IF(CCTSAS[[#This Row],[Allocation fonctions]]="","",IF(ISNA(VLOOKUP(CCTSAS[[#This Row],[Allocation fonctions]],DROPDOWN[Dropdown82],1,FALSE))=TRUE,"Veuillez utiliser les allocations parmis la liste déroulante.",""))</f>
        <v/>
      </c>
    </row>
    <row r="500" spans="1:35" x14ac:dyDescent="0.25">
      <c r="A500" s="72" t="str">
        <f>IF(CCTSAS[[#This Row],[Carrière]]="","",IF(ISNA(VLOOKUP(CCTSAS[[#This Row],[Carrière]],DROPDOWN[Dropdown9],1,FALSE))=TRUE,"Carrière: Utiliser la liste déroulante",""))</f>
        <v/>
      </c>
      <c r="B500" s="554" t="str">
        <f>IF(CCTSAS[[#This Row],[Matricule]]="","",MAX($B$7:B499)+1)</f>
        <v/>
      </c>
      <c r="C500" s="8"/>
      <c r="D500" s="8"/>
      <c r="E500" s="20"/>
      <c r="F500" s="63"/>
      <c r="G500" s="8"/>
      <c r="H500" s="8"/>
      <c r="I500" s="10"/>
      <c r="J500" s="10"/>
      <c r="K500" s="9"/>
      <c r="L500" s="9"/>
      <c r="M500" s="9"/>
      <c r="N50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0" s="660"/>
      <c r="P500" s="660"/>
      <c r="Q500" s="461"/>
      <c r="R500" s="381"/>
      <c r="S500" s="37"/>
      <c r="T500" s="37"/>
      <c r="U500" s="37"/>
      <c r="V500" s="37"/>
      <c r="W500" s="37"/>
      <c r="X500" s="37"/>
      <c r="Y50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0" s="37"/>
      <c r="AA500" s="662" t="str">
        <f>IF(COUNTA(CCTSAS[[#This Row],[Nom]:[heures annuelles
selon contrat(s)]])=0,"",CCTSAS[[#This Row],[Total global]]-ABS(CCTSAS[[#This Row],[Dont non opposable]]))</f>
        <v/>
      </c>
      <c r="AB500" s="8"/>
      <c r="AC500" s="63"/>
      <c r="AD500" s="428"/>
      <c r="AE500" s="428"/>
      <c r="AF500" s="428"/>
      <c r="AG500" s="43"/>
      <c r="AH500" s="183" t="str">
        <f>IF(COUNTA(CCTSAS[[#This Row],[Nom]:[heures annuelles
selon contrat(s)]])=0,"",REVEX!$E$9)</f>
        <v/>
      </c>
      <c r="AI500" s="72" t="str">
        <f>IF(CCTSAS[[#This Row],[Allocation fonctions]]="","",IF(ISNA(VLOOKUP(CCTSAS[[#This Row],[Allocation fonctions]],DROPDOWN[Dropdown82],1,FALSE))=TRUE,"Veuillez utiliser les allocations parmis la liste déroulante.",""))</f>
        <v/>
      </c>
    </row>
    <row r="501" spans="1:35" x14ac:dyDescent="0.25">
      <c r="A501" s="72" t="str">
        <f>IF(CCTSAS[[#This Row],[Carrière]]="","",IF(ISNA(VLOOKUP(CCTSAS[[#This Row],[Carrière]],DROPDOWN[Dropdown9],1,FALSE))=TRUE,"Carrière: Utiliser la liste déroulante",""))</f>
        <v/>
      </c>
      <c r="B501" s="554" t="str">
        <f>IF(CCTSAS[[#This Row],[Matricule]]="","",MAX($B$7:B500)+1)</f>
        <v/>
      </c>
      <c r="C501" s="8"/>
      <c r="D501" s="8"/>
      <c r="E501" s="20"/>
      <c r="F501" s="63"/>
      <c r="G501" s="8"/>
      <c r="H501" s="8"/>
      <c r="I501" s="10"/>
      <c r="J501" s="10"/>
      <c r="K501" s="9"/>
      <c r="L501" s="9"/>
      <c r="M501" s="9"/>
      <c r="N501"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1" s="660"/>
      <c r="P501" s="660"/>
      <c r="Q501" s="461"/>
      <c r="R501" s="381"/>
      <c r="S501" s="37"/>
      <c r="T501" s="37"/>
      <c r="U501" s="37"/>
      <c r="V501" s="37"/>
      <c r="W501" s="37"/>
      <c r="X501" s="37"/>
      <c r="Y501"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1" s="37"/>
      <c r="AA501" s="662" t="str">
        <f>IF(COUNTA(CCTSAS[[#This Row],[Nom]:[heures annuelles
selon contrat(s)]])=0,"",CCTSAS[[#This Row],[Total global]]-ABS(CCTSAS[[#This Row],[Dont non opposable]]))</f>
        <v/>
      </c>
      <c r="AB501" s="8"/>
      <c r="AC501" s="63"/>
      <c r="AD501" s="428"/>
      <c r="AE501" s="428"/>
      <c r="AF501" s="428"/>
      <c r="AG501" s="43"/>
      <c r="AH501" s="183" t="str">
        <f>IF(COUNTA(CCTSAS[[#This Row],[Nom]:[heures annuelles
selon contrat(s)]])=0,"",REVEX!$E$9)</f>
        <v/>
      </c>
      <c r="AI501" s="72" t="str">
        <f>IF(CCTSAS[[#This Row],[Allocation fonctions]]="","",IF(ISNA(VLOOKUP(CCTSAS[[#This Row],[Allocation fonctions]],DROPDOWN[Dropdown82],1,FALSE))=TRUE,"Veuillez utiliser les allocations parmis la liste déroulante.",""))</f>
        <v/>
      </c>
    </row>
    <row r="502" spans="1:35" x14ac:dyDescent="0.25">
      <c r="A502" s="72" t="str">
        <f>IF(CCTSAS[[#This Row],[Carrière]]="","",IF(ISNA(VLOOKUP(CCTSAS[[#This Row],[Carrière]],DROPDOWN[Dropdown9],1,FALSE))=TRUE,"Carrière: Utiliser la liste déroulante",""))</f>
        <v/>
      </c>
      <c r="B502" s="554" t="str">
        <f>IF(CCTSAS[[#This Row],[Matricule]]="","",MAX($B$7:B501)+1)</f>
        <v/>
      </c>
      <c r="C502" s="8"/>
      <c r="D502" s="8"/>
      <c r="E502" s="20"/>
      <c r="F502" s="63"/>
      <c r="G502" s="8"/>
      <c r="H502" s="8"/>
      <c r="I502" s="10"/>
      <c r="J502" s="10"/>
      <c r="K502" s="9"/>
      <c r="L502" s="9"/>
      <c r="M502" s="9"/>
      <c r="N502"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2" s="660"/>
      <c r="P502" s="660"/>
      <c r="Q502" s="461"/>
      <c r="R502" s="381"/>
      <c r="S502" s="37"/>
      <c r="T502" s="37"/>
      <c r="U502" s="37"/>
      <c r="V502" s="37"/>
      <c r="W502" s="37"/>
      <c r="X502" s="37"/>
      <c r="Y502"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2" s="37"/>
      <c r="AA502" s="662" t="str">
        <f>IF(COUNTA(CCTSAS[[#This Row],[Nom]:[heures annuelles
selon contrat(s)]])=0,"",CCTSAS[[#This Row],[Total global]]-ABS(CCTSAS[[#This Row],[Dont non opposable]]))</f>
        <v/>
      </c>
      <c r="AB502" s="8"/>
      <c r="AC502" s="63"/>
      <c r="AD502" s="428"/>
      <c r="AE502" s="428"/>
      <c r="AF502" s="428"/>
      <c r="AG502" s="43"/>
      <c r="AH502" s="183" t="str">
        <f>IF(COUNTA(CCTSAS[[#This Row],[Nom]:[heures annuelles
selon contrat(s)]])=0,"",REVEX!$E$9)</f>
        <v/>
      </c>
      <c r="AI502" s="72" t="str">
        <f>IF(CCTSAS[[#This Row],[Allocation fonctions]]="","",IF(ISNA(VLOOKUP(CCTSAS[[#This Row],[Allocation fonctions]],DROPDOWN[Dropdown82],1,FALSE))=TRUE,"Veuillez utiliser les allocations parmis la liste déroulante.",""))</f>
        <v/>
      </c>
    </row>
    <row r="503" spans="1:35" x14ac:dyDescent="0.25">
      <c r="A503" s="72" t="str">
        <f>IF(CCTSAS[[#This Row],[Carrière]]="","",IF(ISNA(VLOOKUP(CCTSAS[[#This Row],[Carrière]],DROPDOWN[Dropdown9],1,FALSE))=TRUE,"Carrière: Utiliser la liste déroulante",""))</f>
        <v/>
      </c>
      <c r="B503" s="554" t="str">
        <f>IF(CCTSAS[[#This Row],[Matricule]]="","",MAX($B$7:B502)+1)</f>
        <v/>
      </c>
      <c r="C503" s="8"/>
      <c r="D503" s="8"/>
      <c r="E503" s="20"/>
      <c r="F503" s="63"/>
      <c r="G503" s="8"/>
      <c r="H503" s="8"/>
      <c r="I503" s="10"/>
      <c r="J503" s="10"/>
      <c r="K503" s="9"/>
      <c r="L503" s="9"/>
      <c r="M503" s="9"/>
      <c r="N503"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3" s="660"/>
      <c r="P503" s="660"/>
      <c r="Q503" s="461"/>
      <c r="R503" s="381"/>
      <c r="S503" s="37"/>
      <c r="T503" s="37"/>
      <c r="U503" s="37"/>
      <c r="V503" s="37"/>
      <c r="W503" s="37"/>
      <c r="X503" s="37"/>
      <c r="Y503"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3" s="37"/>
      <c r="AA503" s="662" t="str">
        <f>IF(COUNTA(CCTSAS[[#This Row],[Nom]:[heures annuelles
selon contrat(s)]])=0,"",CCTSAS[[#This Row],[Total global]]-ABS(CCTSAS[[#This Row],[Dont non opposable]]))</f>
        <v/>
      </c>
      <c r="AB503" s="8"/>
      <c r="AC503" s="63"/>
      <c r="AD503" s="428"/>
      <c r="AE503" s="428"/>
      <c r="AF503" s="428"/>
      <c r="AG503" s="43"/>
      <c r="AH503" s="183" t="str">
        <f>IF(COUNTA(CCTSAS[[#This Row],[Nom]:[heures annuelles
selon contrat(s)]])=0,"",REVEX!$E$9)</f>
        <v/>
      </c>
      <c r="AI503" s="72" t="str">
        <f>IF(CCTSAS[[#This Row],[Allocation fonctions]]="","",IF(ISNA(VLOOKUP(CCTSAS[[#This Row],[Allocation fonctions]],DROPDOWN[Dropdown82],1,FALSE))=TRUE,"Veuillez utiliser les allocations parmis la liste déroulante.",""))</f>
        <v/>
      </c>
    </row>
    <row r="504" spans="1:35" x14ac:dyDescent="0.25">
      <c r="A504" s="72" t="str">
        <f>IF(CCTSAS[[#This Row],[Carrière]]="","",IF(ISNA(VLOOKUP(CCTSAS[[#This Row],[Carrière]],DROPDOWN[Dropdown9],1,FALSE))=TRUE,"Carrière: Utiliser la liste déroulante",""))</f>
        <v/>
      </c>
      <c r="B504" s="554" t="str">
        <f>IF(CCTSAS[[#This Row],[Matricule]]="","",MAX($B$7:B503)+1)</f>
        <v/>
      </c>
      <c r="C504" s="8"/>
      <c r="D504" s="8"/>
      <c r="E504" s="20"/>
      <c r="F504" s="63"/>
      <c r="G504" s="8"/>
      <c r="H504" s="8"/>
      <c r="I504" s="10"/>
      <c r="J504" s="10"/>
      <c r="K504" s="9"/>
      <c r="L504" s="9"/>
      <c r="M504" s="9"/>
      <c r="N504"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4" s="660"/>
      <c r="P504" s="660"/>
      <c r="Q504" s="461"/>
      <c r="R504" s="381"/>
      <c r="S504" s="37"/>
      <c r="T504" s="37"/>
      <c r="U504" s="37"/>
      <c r="V504" s="37"/>
      <c r="W504" s="37"/>
      <c r="X504" s="37"/>
      <c r="Y504"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4" s="37"/>
      <c r="AA504" s="662" t="str">
        <f>IF(COUNTA(CCTSAS[[#This Row],[Nom]:[heures annuelles
selon contrat(s)]])=0,"",CCTSAS[[#This Row],[Total global]]-ABS(CCTSAS[[#This Row],[Dont non opposable]]))</f>
        <v/>
      </c>
      <c r="AB504" s="8"/>
      <c r="AC504" s="63"/>
      <c r="AD504" s="428"/>
      <c r="AE504" s="428"/>
      <c r="AF504" s="428"/>
      <c r="AG504" s="43"/>
      <c r="AH504" s="183" t="str">
        <f>IF(COUNTA(CCTSAS[[#This Row],[Nom]:[heures annuelles
selon contrat(s)]])=0,"",REVEX!$E$9)</f>
        <v/>
      </c>
      <c r="AI504" s="72" t="str">
        <f>IF(CCTSAS[[#This Row],[Allocation fonctions]]="","",IF(ISNA(VLOOKUP(CCTSAS[[#This Row],[Allocation fonctions]],DROPDOWN[Dropdown82],1,FALSE))=TRUE,"Veuillez utiliser les allocations parmis la liste déroulante.",""))</f>
        <v/>
      </c>
    </row>
    <row r="505" spans="1:35" x14ac:dyDescent="0.25">
      <c r="A505" s="72" t="str">
        <f>IF(CCTSAS[[#This Row],[Carrière]]="","",IF(ISNA(VLOOKUP(CCTSAS[[#This Row],[Carrière]],DROPDOWN[Dropdown9],1,FALSE))=TRUE,"Carrière: Utiliser la liste déroulante",""))</f>
        <v/>
      </c>
      <c r="B505" s="554" t="str">
        <f>IF(CCTSAS[[#This Row],[Matricule]]="","",MAX($B$7:B504)+1)</f>
        <v/>
      </c>
      <c r="C505" s="8"/>
      <c r="D505" s="8"/>
      <c r="E505" s="20"/>
      <c r="F505" s="63"/>
      <c r="G505" s="8"/>
      <c r="H505" s="8"/>
      <c r="I505" s="10"/>
      <c r="J505" s="10"/>
      <c r="K505" s="9"/>
      <c r="L505" s="9"/>
      <c r="M505" s="9"/>
      <c r="N505"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5" s="660"/>
      <c r="P505" s="660"/>
      <c r="Q505" s="461"/>
      <c r="R505" s="381"/>
      <c r="S505" s="37"/>
      <c r="T505" s="37"/>
      <c r="U505" s="37"/>
      <c r="V505" s="37"/>
      <c r="W505" s="37"/>
      <c r="X505" s="37"/>
      <c r="Y505"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5" s="37"/>
      <c r="AA505" s="662" t="str">
        <f>IF(COUNTA(CCTSAS[[#This Row],[Nom]:[heures annuelles
selon contrat(s)]])=0,"",CCTSAS[[#This Row],[Total global]]-ABS(CCTSAS[[#This Row],[Dont non opposable]]))</f>
        <v/>
      </c>
      <c r="AB505" s="8"/>
      <c r="AC505" s="63"/>
      <c r="AD505" s="428"/>
      <c r="AE505" s="428"/>
      <c r="AF505" s="428"/>
      <c r="AG505" s="43"/>
      <c r="AH505" s="183" t="str">
        <f>IF(COUNTA(CCTSAS[[#This Row],[Nom]:[heures annuelles
selon contrat(s)]])=0,"",REVEX!$E$9)</f>
        <v/>
      </c>
      <c r="AI505" s="72" t="str">
        <f>IF(CCTSAS[[#This Row],[Allocation fonctions]]="","",IF(ISNA(VLOOKUP(CCTSAS[[#This Row],[Allocation fonctions]],DROPDOWN[Dropdown82],1,FALSE))=TRUE,"Veuillez utiliser les allocations parmis la liste déroulante.",""))</f>
        <v/>
      </c>
    </row>
    <row r="506" spans="1:35" x14ac:dyDescent="0.25">
      <c r="A506" s="72" t="str">
        <f>IF(CCTSAS[[#This Row],[Carrière]]="","",IF(ISNA(VLOOKUP(CCTSAS[[#This Row],[Carrière]],DROPDOWN[Dropdown9],1,FALSE))=TRUE,"Carrière: Utiliser la liste déroulante",""))</f>
        <v/>
      </c>
      <c r="B506" s="554" t="str">
        <f>IF(CCTSAS[[#This Row],[Matricule]]="","",MAX($B$7:B505)+1)</f>
        <v/>
      </c>
      <c r="C506" s="8"/>
      <c r="D506" s="8"/>
      <c r="E506" s="20"/>
      <c r="F506" s="63"/>
      <c r="G506" s="8"/>
      <c r="H506" s="8"/>
      <c r="I506" s="10"/>
      <c r="J506" s="10"/>
      <c r="K506" s="9"/>
      <c r="L506" s="9"/>
      <c r="M506" s="9"/>
      <c r="N506"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6" s="660"/>
      <c r="P506" s="660"/>
      <c r="Q506" s="461"/>
      <c r="R506" s="381"/>
      <c r="S506" s="37"/>
      <c r="T506" s="37"/>
      <c r="U506" s="37"/>
      <c r="V506" s="37"/>
      <c r="W506" s="37"/>
      <c r="X506" s="37"/>
      <c r="Y506"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6" s="37"/>
      <c r="AA506" s="662" t="str">
        <f>IF(COUNTA(CCTSAS[[#This Row],[Nom]:[heures annuelles
selon contrat(s)]])=0,"",CCTSAS[[#This Row],[Total global]]-ABS(CCTSAS[[#This Row],[Dont non opposable]]))</f>
        <v/>
      </c>
      <c r="AB506" s="8"/>
      <c r="AC506" s="63"/>
      <c r="AD506" s="428"/>
      <c r="AE506" s="428"/>
      <c r="AF506" s="428"/>
      <c r="AG506" s="43"/>
      <c r="AH506" s="183" t="str">
        <f>IF(COUNTA(CCTSAS[[#This Row],[Nom]:[heures annuelles
selon contrat(s)]])=0,"",REVEX!$E$9)</f>
        <v/>
      </c>
      <c r="AI506" s="72" t="str">
        <f>IF(CCTSAS[[#This Row],[Allocation fonctions]]="","",IF(ISNA(VLOOKUP(CCTSAS[[#This Row],[Allocation fonctions]],DROPDOWN[Dropdown82],1,FALSE))=TRUE,"Veuillez utiliser les allocations parmis la liste déroulante.",""))</f>
        <v/>
      </c>
    </row>
    <row r="507" spans="1:35" x14ac:dyDescent="0.25">
      <c r="A507" s="72" t="str">
        <f>IF(CCTSAS[[#This Row],[Carrière]]="","",IF(ISNA(VLOOKUP(CCTSAS[[#This Row],[Carrière]],DROPDOWN[Dropdown9],1,FALSE))=TRUE,"Carrière: Utiliser la liste déroulante",""))</f>
        <v/>
      </c>
      <c r="B507" s="554" t="str">
        <f>IF(CCTSAS[[#This Row],[Matricule]]="","",MAX($B$7:B506)+1)</f>
        <v/>
      </c>
      <c r="C507" s="8"/>
      <c r="D507" s="8"/>
      <c r="E507" s="20"/>
      <c r="F507" s="63"/>
      <c r="G507" s="8"/>
      <c r="H507" s="8"/>
      <c r="I507" s="10"/>
      <c r="J507" s="10"/>
      <c r="K507" s="9"/>
      <c r="L507" s="9"/>
      <c r="M507" s="9"/>
      <c r="N507"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7" s="660"/>
      <c r="P507" s="660"/>
      <c r="Q507" s="461"/>
      <c r="R507" s="381"/>
      <c r="S507" s="37"/>
      <c r="T507" s="37"/>
      <c r="U507" s="37"/>
      <c r="V507" s="37"/>
      <c r="W507" s="37"/>
      <c r="X507" s="37"/>
      <c r="Y507"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7" s="37"/>
      <c r="AA507" s="662" t="str">
        <f>IF(COUNTA(CCTSAS[[#This Row],[Nom]:[heures annuelles
selon contrat(s)]])=0,"",CCTSAS[[#This Row],[Total global]]-ABS(CCTSAS[[#This Row],[Dont non opposable]]))</f>
        <v/>
      </c>
      <c r="AB507" s="8"/>
      <c r="AC507" s="63"/>
      <c r="AD507" s="428"/>
      <c r="AE507" s="428"/>
      <c r="AF507" s="428"/>
      <c r="AG507" s="43"/>
      <c r="AH507" s="183" t="str">
        <f>IF(COUNTA(CCTSAS[[#This Row],[Nom]:[heures annuelles
selon contrat(s)]])=0,"",REVEX!$E$9)</f>
        <v/>
      </c>
      <c r="AI507" s="72" t="str">
        <f>IF(CCTSAS[[#This Row],[Allocation fonctions]]="","",IF(ISNA(VLOOKUP(CCTSAS[[#This Row],[Allocation fonctions]],DROPDOWN[Dropdown82],1,FALSE))=TRUE,"Veuillez utiliser les allocations parmis la liste déroulante.",""))</f>
        <v/>
      </c>
    </row>
    <row r="508" spans="1:35" x14ac:dyDescent="0.25">
      <c r="A508" s="72" t="str">
        <f>IF(CCTSAS[[#This Row],[Carrière]]="","",IF(ISNA(VLOOKUP(CCTSAS[[#This Row],[Carrière]],DROPDOWN[Dropdown9],1,FALSE))=TRUE,"Carrière: Utiliser la liste déroulante",""))</f>
        <v/>
      </c>
      <c r="B508" s="554" t="str">
        <f>IF(CCTSAS[[#This Row],[Matricule]]="","",MAX($B$7:B507)+1)</f>
        <v/>
      </c>
      <c r="C508" s="8"/>
      <c r="D508" s="8"/>
      <c r="E508" s="20"/>
      <c r="F508" s="63"/>
      <c r="G508" s="8"/>
      <c r="H508" s="8"/>
      <c r="I508" s="10"/>
      <c r="J508" s="10"/>
      <c r="K508" s="9"/>
      <c r="L508" s="9"/>
      <c r="M508" s="9"/>
      <c r="N508"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8" s="660"/>
      <c r="P508" s="660"/>
      <c r="Q508" s="461"/>
      <c r="R508" s="381"/>
      <c r="S508" s="37"/>
      <c r="T508" s="37"/>
      <c r="U508" s="37"/>
      <c r="V508" s="37"/>
      <c r="W508" s="37"/>
      <c r="X508" s="37"/>
      <c r="Y508"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8" s="37"/>
      <c r="AA508" s="662" t="str">
        <f>IF(COUNTA(CCTSAS[[#This Row],[Nom]:[heures annuelles
selon contrat(s)]])=0,"",CCTSAS[[#This Row],[Total global]]-ABS(CCTSAS[[#This Row],[Dont non opposable]]))</f>
        <v/>
      </c>
      <c r="AB508" s="8"/>
      <c r="AC508" s="63"/>
      <c r="AD508" s="428"/>
      <c r="AE508" s="428"/>
      <c r="AF508" s="428"/>
      <c r="AG508" s="43"/>
      <c r="AH508" s="183" t="str">
        <f>IF(COUNTA(CCTSAS[[#This Row],[Nom]:[heures annuelles
selon contrat(s)]])=0,"",REVEX!$E$9)</f>
        <v/>
      </c>
      <c r="AI508" s="72" t="str">
        <f>IF(CCTSAS[[#This Row],[Allocation fonctions]]="","",IF(ISNA(VLOOKUP(CCTSAS[[#This Row],[Allocation fonctions]],DROPDOWN[Dropdown82],1,FALSE))=TRUE,"Veuillez utiliser les allocations parmis la liste déroulante.",""))</f>
        <v/>
      </c>
    </row>
    <row r="509" spans="1:35" x14ac:dyDescent="0.25">
      <c r="A509" s="72" t="str">
        <f>IF(CCTSAS[[#This Row],[Carrière]]="","",IF(ISNA(VLOOKUP(CCTSAS[[#This Row],[Carrière]],DROPDOWN[Dropdown9],1,FALSE))=TRUE,"Carrière: Utiliser la liste déroulante",""))</f>
        <v/>
      </c>
      <c r="B509" s="554" t="str">
        <f>IF(CCTSAS[[#This Row],[Matricule]]="","",MAX($B$7:B508)+1)</f>
        <v/>
      </c>
      <c r="C509" s="8"/>
      <c r="D509" s="8"/>
      <c r="E509" s="20"/>
      <c r="F509" s="63"/>
      <c r="G509" s="8"/>
      <c r="H509" s="8"/>
      <c r="I509" s="10"/>
      <c r="J509" s="10"/>
      <c r="K509" s="9"/>
      <c r="L509" s="9"/>
      <c r="M509" s="9"/>
      <c r="N509"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09" s="660"/>
      <c r="P509" s="660"/>
      <c r="Q509" s="461"/>
      <c r="R509" s="381"/>
      <c r="S509" s="37"/>
      <c r="T509" s="37"/>
      <c r="U509" s="37"/>
      <c r="V509" s="37"/>
      <c r="W509" s="37"/>
      <c r="X509" s="37"/>
      <c r="Y509"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09" s="37"/>
      <c r="AA509" s="662" t="str">
        <f>IF(COUNTA(CCTSAS[[#This Row],[Nom]:[heures annuelles
selon contrat(s)]])=0,"",CCTSAS[[#This Row],[Total global]]-ABS(CCTSAS[[#This Row],[Dont non opposable]]))</f>
        <v/>
      </c>
      <c r="AB509" s="8"/>
      <c r="AC509" s="63"/>
      <c r="AD509" s="428"/>
      <c r="AE509" s="428"/>
      <c r="AF509" s="428"/>
      <c r="AG509" s="43"/>
      <c r="AH509" s="183" t="str">
        <f>IF(COUNTA(CCTSAS[[#This Row],[Nom]:[heures annuelles
selon contrat(s)]])=0,"",REVEX!$E$9)</f>
        <v/>
      </c>
      <c r="AI509" s="72" t="str">
        <f>IF(CCTSAS[[#This Row],[Allocation fonctions]]="","",IF(ISNA(VLOOKUP(CCTSAS[[#This Row],[Allocation fonctions]],DROPDOWN[Dropdown82],1,FALSE))=TRUE,"Veuillez utiliser les allocations parmis la liste déroulante.",""))</f>
        <v/>
      </c>
    </row>
    <row r="510" spans="1:35" x14ac:dyDescent="0.25">
      <c r="A510" s="72" t="str">
        <f>IF(CCTSAS[[#This Row],[Carrière]]="","",IF(ISNA(VLOOKUP(CCTSAS[[#This Row],[Carrière]],DROPDOWN[Dropdown9],1,FALSE))=TRUE,"Carrière: Utiliser la liste déroulante",""))</f>
        <v/>
      </c>
      <c r="B510" s="555" t="str">
        <f>IF(CCTSAS[[#This Row],[Matricule]]="","",MAX($B$7:B509)+1)</f>
        <v/>
      </c>
      <c r="C510" s="8"/>
      <c r="D510" s="8"/>
      <c r="E510" s="20"/>
      <c r="F510" s="63"/>
      <c r="G510" s="8"/>
      <c r="H510" s="8"/>
      <c r="I510" s="10"/>
      <c r="J510" s="10"/>
      <c r="K510" s="9"/>
      <c r="L510" s="9"/>
      <c r="M510" s="9"/>
      <c r="N510" s="64" t="str">
        <f>IF(COUNTA(CCTSAS[[#This Row],[Nom]:[heures annuelles
selon contrat(s)]])=0,"",IF(OR(LEFT(CCTSAS[[#This Row],[Carrière]],9)="Stagiaire",LEFT(CCTSAS[[#This Row],[Carrière]],8)="Étudiant")=TRUE,0,IF(((CCTSAS[[#This Row],[heures annuelles
selon contrat(s)]]-CCTSAS[[#This Row],[Heures de maladie]]-CCTSAS[[#This Row],[Autres absences motivées]])/RTT!$D$6*RTT!$D$21)&lt;0,0,((CCTSAS[[#This Row],[heures annuelles
selon contrat(s)]]-CCTSAS[[#This Row],[Heures de maladie]]-CCTSAS[[#This Row],[Autres absences motivées]])/RTT!$D$6*RTT!$D$21))))</f>
        <v/>
      </c>
      <c r="O510" s="660"/>
      <c r="P510" s="660"/>
      <c r="Q510" s="461"/>
      <c r="R510" s="381"/>
      <c r="S510" s="37"/>
      <c r="T510" s="37"/>
      <c r="U510" s="37"/>
      <c r="V510" s="37"/>
      <c r="W510" s="37"/>
      <c r="X510" s="37"/>
      <c r="Y510" s="661" t="str">
        <f>IF(COUNTA(CCTSAS[[#This Row],[Nom]:[heures annuelles
selon contrat(s)]])=0,"",CCTSAS[[#This Row],[Brut]]+CCTSAS[[#This Row],[Primes convention financement]]+CCTSAS[[#This Row],[Autres primes]]+CCTSAS[[#This Row],[Part patronale]]-ABS(CCTSAS[[#This Row],[Remboursement
Mutualité]])-ABS(CCTSAS[[#This Row],[Remboursement Formateur accrédité par SNJ]])-ABS(CCTSAS[[#This Row],[Remboursement
Autres]]))</f>
        <v/>
      </c>
      <c r="Z510" s="37"/>
      <c r="AA510" s="663" t="str">
        <f>IF(COUNTA(CCTSAS[[#This Row],[Nom]:[heures annuelles
selon contrat(s)]])=0,"",CCTSAS[[#This Row],[Total global]]-ABS(CCTSAS[[#This Row],[Dont non opposable]]))</f>
        <v/>
      </c>
      <c r="AB510" s="8"/>
      <c r="AC510" s="63"/>
      <c r="AD510" s="429"/>
      <c r="AE510" s="429"/>
      <c r="AF510" s="429"/>
      <c r="AG510" s="44"/>
      <c r="AH510" s="183" t="str">
        <f>IF(COUNTA(CCTSAS[[#This Row],[Nom]:[heures annuelles
selon contrat(s)]])=0,"",REVEX!$E$9)</f>
        <v/>
      </c>
      <c r="AI510" s="72" t="str">
        <f>IF(CCTSAS[[#This Row],[Allocation fonctions]]="","",IF(ISNA(VLOOKUP(CCTSAS[[#This Row],[Allocation fonctions]],DROPDOWN[Dropdown82],1,FALSE))=TRUE,"Veuillez utiliser les allocations parmis la liste déroulante.",""))</f>
        <v/>
      </c>
    </row>
    <row r="511" spans="1:35" x14ac:dyDescent="0.25">
      <c r="B511" s="7" t="s">
        <v>31</v>
      </c>
      <c r="C511" s="8"/>
      <c r="D511" s="8"/>
      <c r="E511" s="8"/>
      <c r="F511" s="8"/>
      <c r="G511" s="8"/>
      <c r="H511" s="8"/>
      <c r="I511" s="8"/>
      <c r="J511" s="8"/>
      <c r="K511" s="15">
        <f>SUBTOTAL(109,CCTSAS[heures annuelles
selon contrat(s)])</f>
        <v>0</v>
      </c>
      <c r="L511" s="15"/>
      <c r="M511" s="15"/>
      <c r="N511" s="40">
        <f>SUBTOTAL(109,CCTSAS[Heures annuelles RTT])</f>
        <v>0</v>
      </c>
      <c r="O511" s="15">
        <f>SUBTOTAL(109,CCTSAS[Heures de maladie])</f>
        <v>0</v>
      </c>
      <c r="P511" s="15">
        <f>SUBTOTAL(109,CCTSAS[Heures PEP (compris dans les heures contrats)])</f>
        <v>0</v>
      </c>
      <c r="Q511" s="15">
        <f>SUBTOTAL(109,CCTSAS[Autres absences motivées])</f>
        <v>0</v>
      </c>
      <c r="R511" s="15">
        <f>SUBTOTAL(109,CCTSAS[Brut])</f>
        <v>0</v>
      </c>
      <c r="S511" s="15">
        <f>SUBTOTAL(109,CCTSAS[Primes convention financement])</f>
        <v>0</v>
      </c>
      <c r="T511" s="15">
        <f>SUBTOTAL(109,CCTSAS[Autres primes])</f>
        <v>0</v>
      </c>
      <c r="U511" s="15">
        <f>SUBTOTAL(109,CCTSAS[Part patronale])</f>
        <v>0</v>
      </c>
      <c r="V511" s="15">
        <f>SUBTOTAL(109,CCTSAS[Remboursement
Mutualité])</f>
        <v>0</v>
      </c>
      <c r="W511" s="15"/>
      <c r="X511" s="15">
        <f>SUBTOTAL(109,CCTSAS[Remboursement
Autres])</f>
        <v>0</v>
      </c>
      <c r="Y511" s="15">
        <f>SUBTOTAL(109,CCTSAS[Total global])</f>
        <v>0</v>
      </c>
      <c r="Z511" s="15">
        <f>SUBTOTAL(109,CCTSAS[Dont non opposable])</f>
        <v>0</v>
      </c>
      <c r="AA511" s="15">
        <f>SUBTOTAL(109,CCTSAS[Total éligible])</f>
        <v>0</v>
      </c>
      <c r="AB511" s="8"/>
      <c r="AC511" s="8"/>
      <c r="AD511" s="7"/>
      <c r="AE511" s="7"/>
      <c r="AF511" s="7"/>
      <c r="AG511" s="8"/>
      <c r="AH511" s="38">
        <f>SUBTOTAL(103,CCTSAS[Code Convention])</f>
        <v>504</v>
      </c>
    </row>
  </sheetData>
  <sheetProtection algorithmName="SHA-512" hashValue="hUP/GG91xMbH2ceQC3+WQZlkWYR5Ge7mZVDuH2B7h89A1ACnuBvl7B2f30d05Jtan66DOUVlEHBsedI3U275fg==" saltValue="W20bgD5ohdaXCFgW/kX/Lw==" spinCount="100000" sheet="1" selectLockedCells="1" autoFilter="0"/>
  <conditionalFormatting sqref="O7:Q510">
    <cfRule type="expression" dxfId="235" priority="1">
      <formula>($O7+$P7+$Q7)&gt;$K7</formula>
    </cfRule>
    <cfRule type="cellIs" dxfId="234" priority="5" operator="greaterThan">
      <formula>$K7</formula>
    </cfRule>
  </conditionalFormatting>
  <conditionalFormatting sqref="Q7:Q510">
    <cfRule type="cellIs" dxfId="233" priority="4" operator="greaterThan">
      <formula>$K7</formula>
    </cfRule>
  </conditionalFormatting>
  <dataValidations xWindow="1531" yWindow="826" count="16">
    <dataValidation type="whole" allowBlank="1" showInputMessage="1" showErrorMessage="1" errorTitle="Matricule" error="Merci d'indiquer la matricule selon le format suivant : 1986123112345 sans espace, comprenant 13 chiffres." promptTitle="Matricule" prompt="Merci d'indiquer la matricule selon le format suivant : 1986123112345 sans espace, comprenant 13 chiffres." sqref="E7:E510" xr:uid="{00000000-0002-0000-0600-000000000000}">
      <formula1>1000000000000</formula1>
      <formula2>9999999999999</formula2>
    </dataValidation>
    <dataValidation type="decimal" operator="lessThanOrEqual" allowBlank="1" showInputMessage="1" showErrorMessage="1" errorTitle="Hrs COVID compris dans hrs contr" error="Il n'est pas possible que les heures COVID sont plus grand que les heures selon contrats._x000a_(cf NOTE EXPLICATIVE)" promptTitle="DONT Heures COVID" prompt="Le gestionnaire introduit toutes les heures annuelles selon contrat(s) engagé pendant la phase Covid-19 et par salarié._x000a__x000a_DONC, il n'est pas possible que les heures COVID soient plus élevées que les heures selon contrats." sqref="M7:M510" xr:uid="{B1EE0534-5D6C-424B-B9AC-F29FA1CC927E}">
      <formula1>K7</formula1>
    </dataValidation>
    <dataValidation type="whole" allowBlank="1" showInputMessage="1" showErrorMessage="1" errorTitle="Ancienneté" error="La valeur doit être entre 0 et 40 (cf CCT SAS - Grille de rémunération exprimées en points)" promptTitle="Ancienneté" prompt="Veuillez indiquer l'ancienneté en année de 0 à 40" sqref="G8:G510" xr:uid="{E8CA40E7-A9A1-4BAE-94A1-639544E19877}">
      <formula1>0</formula1>
      <formula2>40</formula2>
    </dataValidation>
    <dataValidation type="decimal" operator="lessThanOrEqual" allowBlank="1" showInputMessage="1" showErrorMessage="1" errorTitle="Autres absences motivées" error="Les heures d'autres absences motivées ne peuvent pas dépasser les heures selon contrat(s)." promptTitle="Autres absences motivées" prompt="Veuillez spécifier toutes les autres absences justifiées, telles que les congés syndicaux, sportifs, etc." sqref="Q7:Q510" xr:uid="{DBC00E12-9769-4311-AF20-79694FD37458}">
      <formula1>K7</formula1>
    </dataValidation>
    <dataValidation type="decimal" allowBlank="1" showInputMessage="1" showErrorMessage="1" errorTitle="Ancienneté" error="La valeur doit être entre 0 et 40 (cf CCT SAS - Grille de rémunération exprimées en points)" promptTitle="Ancienneté" prompt="Veuillez indiquer l'ancienneté en année de 0 à 40" sqref="G7" xr:uid="{64DB1D3F-59ED-4EDF-94F0-F2337BBA9EAC}">
      <formula1>0</formula1>
      <formula2>40</formula2>
    </dataValidation>
    <dataValidation type="decimal" operator="greaterThanOrEqual" allowBlank="1" showInputMessage="1" showErrorMessage="1" promptTitle="Points" prompt="Merci de ne mentionner que les éléments relatifs au salaire de base. Toutes les primes doivent être saisies dans la colonne &quot;Primes convention&quot; (Prime de responsabilité) ou &quot;Autres primes&quot;." sqref="H7:H510" xr:uid="{147476A7-F12D-4B80-885C-CAADF0EDE449}">
      <formula1>0</formula1>
    </dataValidation>
    <dataValidation type="decimal" operator="lessThanOrEqual" allowBlank="1" showInputMessage="1" showErrorMessage="1" errorTitle="Heures de maladie" error="Les heures de maladie ne peuvent pas dépasser les heures selon contrat(s)." sqref="O8:O510" xr:uid="{0D42AD4C-9133-4CCB-B36E-F182333AA75C}">
      <formula1>K8</formula1>
    </dataValidation>
    <dataValidation allowBlank="1" showInputMessage="1" showErrorMessage="1" promptTitle="DONT heures supplémenataire UKR" prompt="Le gestionnaire introduit toutes les heures annuelles selon contrat(s) engagé dans le cadre de la crise ukrainienne._x000a__x000a_DONC, il n'est pas possible que les heures soient plus élevées que les heures selon contrats." sqref="L7:L510" xr:uid="{8BA18B49-032D-48CF-96E8-02C9BB9E4145}"/>
    <dataValidation type="decimal" operator="lessThanOrEqual" allowBlank="1" showInputMessage="1" showErrorMessage="1" promptTitle="Plan d'Encadrement Périscolaire" prompt="Merci de bien vouloir spécifier les heures d'intervention du personnel d'encadrement du SEA sur le site de l'école fondamentale pendant les heures scolaires régulières." sqref="P8:P510 P7" xr:uid="{B99A1668-7035-41A6-928A-17EF57B77F06}">
      <formula1>K7</formula1>
    </dataValidation>
    <dataValidation type="decimal" operator="greaterThan" allowBlank="1" showInputMessage="1" showErrorMessage="1" promptTitle="Primes Convention" prompt="Dans la colonne &quot;primes convention&quot;, veuillez indiquer uniquement les primes de responsabilité, limitées à 60 points pour le personnel ayant des responsabilités hiérarchiques et directement liées à l'activité du SEA." sqref="S8:S510 S7" xr:uid="{96FCB4FD-84EC-427D-B1A7-A5C2E2DB321A}">
      <formula1>0</formula1>
    </dataValidation>
    <dataValidation type="decimal" operator="greaterThan" allowBlank="1" showInputMessage="1" showErrorMessage="1" promptTitle="Autres Primes" prompt="Veuillez spécifier ici toutes autres primes._x000a_(cf CCT SAS) " sqref="T7:T510" xr:uid="{5CF841FD-A22F-4C59-93AA-574EECB18C83}">
      <formula1>0</formula1>
    </dataValidation>
    <dataValidation allowBlank="1" showInputMessage="1" showErrorMessage="1" promptTitle="Part Patronale" prompt="Indiquez la part patronale, comprenant des éléments tels que les cotisations sociales, etc. _x000a__x000a_Si vous avez des remboursements de mutuelle à rembourser, veuillez les inclure également ici." sqref="U7:U510" xr:uid="{DE92920B-6E15-4F23-8EF3-96D909F3ED5B}"/>
    <dataValidation type="decimal" operator="greaterThan" allowBlank="1" showInputMessage="1" showErrorMessage="1" errorTitle="Remboursement Mutualité" error="Nombre positif!_x000a__x000a_Si vous avez des remboursements de mutuelle à rembourser, veuillez les inclure dans la colonne &quot;Part Patronale&quot;" promptTitle="Remboursement Mutualité" prompt="Si vous avez des remboursements de mutuelle à rembourser, veuillez les inclure dans la colonne &quot;Part Patronale&quot;" sqref="V7:V510" xr:uid="{4E04ED79-9A7C-4AEE-94A8-DB9AB68FE975}">
      <formula1>0</formula1>
    </dataValidation>
    <dataValidation type="decimal" operator="greaterThan" allowBlank="1" showInputMessage="1" showErrorMessage="1" errorTitle="Remboursement Formateur" error="Nombre positf!" promptTitle="Remboursement SNJ" prompt="Veuillez fournir ici le remboursement du SNJ dans le contexte des formations dispensées ou des accompagnements professionnels organisés pour une agence de formation continue et d’accompagnement professionnel. _x000a_(cf. Convention Art. 11) " sqref="W7:W510" xr:uid="{1DBD13F1-2652-4D1A-A884-CF0EE4FD7AFF}">
      <formula1>0</formula1>
    </dataValidation>
    <dataValidation type="decimal" operator="greaterThan" allowBlank="1" showInputMessage="1" showErrorMessage="1" promptTitle="Remboursement Autres" prompt="Merci d'indiquer tous les autres remboursements, par exemple ceux liés à des mesures de l'ADEM, DAP, etc." sqref="X7:X510" xr:uid="{6FB8A8EE-7A6B-4418-8EDD-46D5626CFD84}">
      <formula1>0</formula1>
    </dataValidation>
    <dataValidation type="decimal" operator="lessThanOrEqual" allowBlank="1" showInputMessage="1" showErrorMessage="1" errorTitle="Heures de maladie" error="Les heures de maladie ne peuvent pas dépasser les heures selon contrat(s)." promptTitle="Heures de maladie" prompt="Merci de noter les heures d'absence pour maladie ici." sqref="O7" xr:uid="{773D2661-B0B5-43F5-8639-CAF0F0FABC10}">
      <formula1>K7</formula1>
    </dataValidation>
  </dataValidations>
  <pageMargins left="0.7" right="0.7" top="0.75" bottom="0.75" header="0.3" footer="0.3"/>
  <pageSetup paperSize="9" scale="20"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 id="{00BFA4C3-709D-4471-B5D9-7B335026F91B}">
            <xm:f>AND('Informations générales 3'!$C$75="NON",$L7&gt;0)</xm:f>
            <x14:dxf>
              <fill>
                <patternFill>
                  <bgColor rgb="FFFF0000"/>
                </patternFill>
              </fill>
            </x14:dxf>
          </x14:cfRule>
          <xm:sqref>L7:L510</xm:sqref>
        </x14:conditionalFormatting>
      </x14:conditionalFormattings>
    </ext>
    <ext xmlns:x14="http://schemas.microsoft.com/office/spreadsheetml/2009/9/main" uri="{CCE6A557-97BC-4b89-ADB6-D9C93CAAB3DF}">
      <x14:dataValidations xmlns:xm="http://schemas.microsoft.com/office/excel/2006/main" xWindow="1531" yWindow="826" count="7">
        <x14:dataValidation type="list" allowBlank="1" showInputMessage="1" showErrorMessage="1" errorTitle="Carrière" promptTitle="Carrière" prompt="Merci de choisir les carrières dans la liste déroulante. _x000a__x000a_REMARQUE: Pour les nouvelles carrières &quot;Stagiaire - Formation professionnelle&quot; veuillez consulter la note explicative." xr:uid="{00000000-0002-0000-0600-000003000000}">
          <x14:formula1>
            <xm:f>'Variable et Dropdowns'!$I$2:$I$83</xm:f>
          </x14:formula1>
          <xm:sqref>F7:F510</xm:sqref>
        </x14:dataValidation>
        <x14:dataValidation type="list" allowBlank="1" showInputMessage="1" showErrorMessage="1" xr:uid="{00000000-0002-0000-0600-000004000000}">
          <x14:formula1>
            <xm:f>'Informations générales 2'!$C$8:$C$47</xm:f>
          </x14:formula1>
          <xm:sqref>AB7:AB510</xm:sqref>
        </x14:dataValidation>
        <x14:dataValidation type="list" allowBlank="1" showInputMessage="1" showErrorMessage="1" xr:uid="{0008B8CF-F878-4DCD-9D1F-678149EB1CB1}">
          <x14:formula1>
            <xm:f>'Variable et Dropdowns'!$K$2:$K$7</xm:f>
          </x14:formula1>
          <xm:sqref>AF7:AF510</xm:sqref>
        </x14:dataValidation>
        <x14:dataValidation type="date" allowBlank="1" showInputMessage="1" showErrorMessage="1" errorTitle="Date début 2023" error="Dans la colonne &quot;Engagé(e) en 2023 du...&quot;, veuillez saisir la date de début de contrat. Si l'employé est engagé avant le 1er janvier 2023, veuillez tout de même indiquer le 1er janvier 2023." promptTitle="Date début 2024" prompt="Dans la colonne &quot;Engagé(e) en 2024 du...&quot;, veuillez saisir la date de début de contrat. Si l'employé est engagé avant le 1er janvier 2024, veuillez tout de même indiquer le 1er janvier 2024." xr:uid="{00000000-0002-0000-0600-000002000000}">
          <x14:formula1>
            <xm:f>DATE('Informations générales 1'!$C$10,1,1)</xm:f>
          </x14:formula1>
          <x14:formula2>
            <xm:f>DATE('Informations générales 1'!$C$10,12,31)</xm:f>
          </x14:formula2>
          <xm:sqref>I7:I510</xm:sqref>
        </x14:dataValidation>
        <x14:dataValidation type="decimal" allowBlank="1" showInputMessage="1" showErrorMessage="1" errorTitle="Heures annuelles" error="La valeur doit être entre 0 et 2080._x000a_Tâche comlête = 2080hrs" promptTitle="Heures Contrat" prompt="Une tâche à temps complet (40 heures par semaine) engagée du 1er janvier 2024 au 31 décembre 2024 totalise 2096 heures par an. Ainsi, du 1er juillet 2024 au 31 décembre 2024, elle équivaut à 1048 heures annuelles." xr:uid="{53E38054-D25D-4402-AA60-8B0C84EB9A85}">
          <x14:formula1>
            <xm:f>0</xm:f>
          </x14:formula1>
          <x14:formula2>
            <xm:f>RTT!$D$6</xm:f>
          </x14:formula2>
          <xm:sqref>K8:K510 K7</xm:sqref>
        </x14:dataValidation>
        <x14:dataValidation type="list" allowBlank="1" showInputMessage="1" showErrorMessage="1" xr:uid="{00000000-0002-0000-0600-000005000000}">
          <x14:formula1>
            <xm:f>'Variable et Dropdowns'!$H$3:$H$21</xm:f>
          </x14:formula1>
          <xm:sqref>AC7:AC510</xm:sqref>
        </x14:dataValidation>
        <x14:dataValidation type="date" allowBlank="1" showInputMessage="1" showErrorMessage="1" errorTitle="Date début 2023" error="Dans la colonne &quot;au...&quot;, veuillez renseigner la date de fin de contrat. Pour les contrats à durée indéterminée, veuillez indiquer le 31/12/2023._x000a_FORMAT: DD/MM/YYYY" promptTitle="Date Fin 2024" prompt="Dans la colonne &quot;au...&quot;, veuillez renseigner la date de fin de contrat. Pour les contrats à durée indéterminée, veuillez indiquer le 31/12/2024." xr:uid="{5B5CDAD4-E375-436E-994E-AAA2897940BF}">
          <x14:formula1>
            <xm:f>DATE('Informations générales 1'!$C$10,1,1)</xm:f>
          </x14:formula1>
          <x14:formula2>
            <xm:f>DATE('Informations générales 1'!$C$10,12,31)</xm:f>
          </x14:formula2>
          <xm:sqref>J8:J510 J7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59999389629810485"/>
    <pageSetUpPr fitToPage="1"/>
  </sheetPr>
  <dimension ref="A1:AJ771"/>
  <sheetViews>
    <sheetView zoomScale="85" zoomScaleNormal="85" workbookViewId="0">
      <selection activeCell="C7" sqref="C7"/>
    </sheetView>
  </sheetViews>
  <sheetFormatPr defaultColWidth="9.140625" defaultRowHeight="15" x14ac:dyDescent="0.25"/>
  <cols>
    <col min="1" max="1" width="6.140625" style="2" customWidth="1"/>
    <col min="2" max="2" width="7.28515625" style="2" customWidth="1"/>
    <col min="3" max="3" width="42.5703125" style="2" customWidth="1"/>
    <col min="4" max="4" width="31" style="2" customWidth="1"/>
    <col min="5" max="5" width="16.7109375" style="2" customWidth="1"/>
    <col min="6" max="6" width="23.42578125" style="2" bestFit="1" customWidth="1"/>
    <col min="7" max="7" width="39.7109375" style="2" bestFit="1" customWidth="1"/>
    <col min="8" max="8" width="32.85546875" style="2" bestFit="1" customWidth="1"/>
    <col min="9" max="9" width="12.28515625" style="2" bestFit="1" customWidth="1"/>
    <col min="10" max="10" width="11.140625" style="2" bestFit="1" customWidth="1"/>
    <col min="11" max="11" width="27" style="2" bestFit="1" customWidth="1"/>
    <col min="12" max="12" width="16.140625" style="2" customWidth="1"/>
    <col min="13" max="13" width="21.140625" style="2" bestFit="1" customWidth="1"/>
    <col min="14" max="14" width="21.140625" style="2" hidden="1" customWidth="1"/>
    <col min="15" max="15" width="25.85546875" style="2" hidden="1" customWidth="1"/>
    <col min="16" max="16" width="24.85546875" style="2" bestFit="1" customWidth="1"/>
    <col min="17" max="17" width="24.42578125" style="2" bestFit="1" customWidth="1"/>
    <col min="18" max="18" width="17" style="2" customWidth="1"/>
    <col min="19" max="19" width="24.42578125" style="2" customWidth="1"/>
    <col min="20" max="20" width="14.28515625" style="2" bestFit="1" customWidth="1"/>
    <col min="21" max="21" width="18.140625" style="2" bestFit="1" customWidth="1"/>
    <col min="22" max="22" width="18.28515625" style="2" bestFit="1" customWidth="1"/>
    <col min="23" max="23" width="30.28515625" style="2" bestFit="1" customWidth="1"/>
    <col min="24" max="24" width="30.28515625" style="2" customWidth="1"/>
    <col min="25" max="25" width="17.42578125" style="2" bestFit="1" customWidth="1"/>
    <col min="26" max="26" width="15.85546875" style="2" bestFit="1" customWidth="1"/>
    <col min="27" max="27" width="23.7109375" style="2" bestFit="1" customWidth="1"/>
    <col min="28" max="28" width="17.140625" style="2" bestFit="1" customWidth="1"/>
    <col min="29" max="29" width="43" style="2" bestFit="1" customWidth="1"/>
    <col min="30" max="30" width="46.140625" style="2" bestFit="1" customWidth="1"/>
    <col min="31" max="31" width="18.28515625" style="2" hidden="1" customWidth="1"/>
    <col min="32" max="32" width="19.5703125" style="2" hidden="1" customWidth="1"/>
    <col min="33" max="33" width="79.42578125" style="2" hidden="1" customWidth="1"/>
    <col min="34" max="34" width="28.85546875" style="2" customWidth="1"/>
    <col min="35" max="35" width="21" style="2" bestFit="1" customWidth="1"/>
    <col min="36" max="16384" width="9.140625" style="2"/>
  </cols>
  <sheetData>
    <row r="1" spans="1:36" x14ac:dyDescent="0.25">
      <c r="B1" s="11" t="str">
        <f>'Informations générales 1'!B7</f>
        <v>DECOMPTE ANNUEL</v>
      </c>
    </row>
    <row r="2" spans="1:36" x14ac:dyDescent="0.25">
      <c r="B2" s="11" t="str">
        <f>'Informations générales 1'!C20&amp;" - "&amp;'Informations générales 1'!C24</f>
        <v>Nom Gestionnaire - Nom SEA</v>
      </c>
    </row>
    <row r="3" spans="1:36" x14ac:dyDescent="0.25">
      <c r="B3" s="19">
        <f>'Informations générales 1'!C10</f>
        <v>2024</v>
      </c>
    </row>
    <row r="4" spans="1:36" x14ac:dyDescent="0.25">
      <c r="L4" s="71" t="s">
        <v>313</v>
      </c>
      <c r="M4" s="191">
        <f>SUM(SalCommune[heures annuelles
selon contrat(s)])</f>
        <v>0</v>
      </c>
      <c r="N4" s="191"/>
      <c r="O4" s="191"/>
      <c r="P4" s="191">
        <f>SUM(SalCommune[Heures annuelles RTT])</f>
        <v>0</v>
      </c>
      <c r="Q4" s="191">
        <f>SUM(SalCommune[Heures de maladie])</f>
        <v>0</v>
      </c>
      <c r="R4" s="191">
        <f>SUM(SalCommune[Heures PEP (compris dans les heures contrats)])</f>
        <v>0</v>
      </c>
      <c r="S4" s="191"/>
      <c r="T4" s="192">
        <f>SUM(SalCommune[Brut])</f>
        <v>0</v>
      </c>
      <c r="U4" s="192">
        <f>SUM(SalCommune[Autres Primes])</f>
        <v>0</v>
      </c>
      <c r="V4" s="192">
        <f>SUM(SalCommune[Part patronale])</f>
        <v>0</v>
      </c>
      <c r="W4" s="192">
        <f>SUM(SalCommune[Remboursement Mutualité 
(SALARIÉ(E)S)])</f>
        <v>0</v>
      </c>
      <c r="X4" s="192"/>
      <c r="Y4" s="192">
        <f>SUM(SalCommune[Remboursement
Autres])</f>
        <v>0</v>
      </c>
      <c r="Z4" s="192">
        <f>SUM(SalCommune[Total global])</f>
        <v>0</v>
      </c>
      <c r="AA4" s="192">
        <f>SUM(SalCommune[Dont non opposable])</f>
        <v>0</v>
      </c>
      <c r="AB4" s="192">
        <f>SUM(SalCommune[Total éligible])</f>
        <v>0</v>
      </c>
    </row>
    <row r="5" spans="1:36" x14ac:dyDescent="0.25">
      <c r="L5" s="71" t="s">
        <v>392</v>
      </c>
      <c r="M5" s="191">
        <f>SalCommune[[#Totals],[heures annuelles
selon contrat(s)]]</f>
        <v>0</v>
      </c>
      <c r="N5" s="191"/>
      <c r="O5" s="191"/>
      <c r="P5" s="191">
        <f>SalCommune[[#Totals],[Heures annuelles RTT]]</f>
        <v>0</v>
      </c>
      <c r="Q5" s="191">
        <f>SalCommune[[#Totals],[Heures de maladie]]</f>
        <v>0</v>
      </c>
      <c r="R5" s="191">
        <f>SalCommune[[#Totals],[Heures PEP (compris dans les heures contrats)]]</f>
        <v>0</v>
      </c>
      <c r="S5" s="191"/>
      <c r="T5" s="192">
        <f>SalCommune[[#Totals],[Brut]]</f>
        <v>0</v>
      </c>
      <c r="U5" s="192">
        <f>SalCommune[[#Totals],[Autres Primes]]</f>
        <v>0</v>
      </c>
      <c r="V5" s="192">
        <f>SalCommune[[#Totals],[Part patronale]]</f>
        <v>0</v>
      </c>
      <c r="W5" s="192">
        <f>SalCommune[[#Totals],[Remboursement Mutualité 
(SALARIÉ(E)S)]]</f>
        <v>0</v>
      </c>
      <c r="X5" s="192"/>
      <c r="Y5" s="192">
        <f>SalCommune[[#Totals],[Remboursement
Autres]]</f>
        <v>0</v>
      </c>
      <c r="Z5" s="192">
        <f>SalCommune[[#Totals],[Total global]]</f>
        <v>0</v>
      </c>
      <c r="AA5" s="192">
        <f>SalCommune[[#Totals],[Dont non opposable]]</f>
        <v>0</v>
      </c>
      <c r="AB5" s="192">
        <f>SalCommune[[#Totals],[Total éligible]]</f>
        <v>0</v>
      </c>
    </row>
    <row r="6" spans="1:36" ht="113.25" customHeight="1" x14ac:dyDescent="0.25">
      <c r="B6" s="35" t="s">
        <v>19</v>
      </c>
      <c r="C6" s="35" t="s">
        <v>20</v>
      </c>
      <c r="D6" s="35" t="s">
        <v>122</v>
      </c>
      <c r="E6" s="35" t="s">
        <v>123</v>
      </c>
      <c r="F6" s="35" t="s">
        <v>360</v>
      </c>
      <c r="G6" s="35" t="s">
        <v>124</v>
      </c>
      <c r="H6" s="35" t="s">
        <v>361</v>
      </c>
      <c r="I6" s="6" t="s">
        <v>605</v>
      </c>
      <c r="J6" s="35" t="s">
        <v>125</v>
      </c>
      <c r="K6" s="35" t="s">
        <v>731</v>
      </c>
      <c r="L6" s="35" t="s">
        <v>607</v>
      </c>
      <c r="M6" s="6" t="s">
        <v>597</v>
      </c>
      <c r="N6" s="6" t="s">
        <v>702</v>
      </c>
      <c r="O6" s="6" t="s">
        <v>703</v>
      </c>
      <c r="P6" s="35" t="s">
        <v>126</v>
      </c>
      <c r="Q6" s="6" t="s">
        <v>127</v>
      </c>
      <c r="R6" s="6" t="s">
        <v>704</v>
      </c>
      <c r="S6" s="6" t="s">
        <v>608</v>
      </c>
      <c r="T6" s="35" t="s">
        <v>129</v>
      </c>
      <c r="U6" s="35" t="s">
        <v>362</v>
      </c>
      <c r="V6" s="35" t="s">
        <v>131</v>
      </c>
      <c r="W6" s="6" t="s">
        <v>609</v>
      </c>
      <c r="X6" s="6" t="s">
        <v>625</v>
      </c>
      <c r="Y6" s="6" t="s">
        <v>133</v>
      </c>
      <c r="Z6" s="35" t="s">
        <v>134</v>
      </c>
      <c r="AA6" s="35" t="s">
        <v>135</v>
      </c>
      <c r="AB6" s="35" t="s">
        <v>136</v>
      </c>
      <c r="AC6" s="35" t="s">
        <v>137</v>
      </c>
      <c r="AD6" s="35" t="s">
        <v>363</v>
      </c>
      <c r="AE6" s="6" t="s">
        <v>630</v>
      </c>
      <c r="AF6" s="6" t="s">
        <v>620</v>
      </c>
      <c r="AG6" s="6" t="s">
        <v>349</v>
      </c>
      <c r="AH6" s="35" t="s">
        <v>92</v>
      </c>
      <c r="AI6" s="35" t="s">
        <v>139</v>
      </c>
    </row>
    <row r="7" spans="1:36" x14ac:dyDescent="0.25">
      <c r="A7" s="72" t="str">
        <f>IF(SalCommune[[#This Row],[Statut]]="","",IF(ISNA(VLOOKUP(SalCommune[[#This Row],[Statut]],'Grille communale'!$B$3:$B$5,1,FALSE))=TRUE,"Veuillez choisir le statut parmis la liste déroulante",""))</f>
        <v/>
      </c>
      <c r="B7" s="725" t="str">
        <f>IF(SalCommune[[#This Row],[Matricule]]="","",1)</f>
        <v/>
      </c>
      <c r="C7" s="8"/>
      <c r="D7" s="8"/>
      <c r="E7" s="20"/>
      <c r="F7" s="8"/>
      <c r="G7" s="8"/>
      <c r="H7" s="9"/>
      <c r="I7" s="9"/>
      <c r="J7" s="9"/>
      <c r="K7" s="10"/>
      <c r="L7" s="10"/>
      <c r="M7" s="9"/>
      <c r="N7" s="9"/>
      <c r="O7" s="9"/>
      <c r="P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 s="9"/>
      <c r="R7" s="9"/>
      <c r="S7" s="9"/>
      <c r="T7" s="37"/>
      <c r="U7" s="37"/>
      <c r="V7" s="37"/>
      <c r="W7" s="37"/>
      <c r="X7" s="37"/>
      <c r="Y7" s="37"/>
      <c r="Z7" s="65">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 s="37"/>
      <c r="AB7" s="65" t="str">
        <f>IF(COUNTA(SalCommune[[#This Row],[Nom]:[heures annuelles
selon contrat(s)]])=0,"",SalCommune[[#This Row],[Total global]]-ABS(SalCommune[[#This Row],[Dont non opposable]]))</f>
        <v/>
      </c>
      <c r="AC7" s="8"/>
      <c r="AD7" s="63"/>
      <c r="AE7" s="426"/>
      <c r="AF7" s="430"/>
      <c r="AG7" s="430"/>
      <c r="AH7" s="181"/>
      <c r="AI7" s="194">
        <f>IF(COUNTA(SalCommune[[#This Row],[N°]:[heures annuelles
selon contrat(s)]])=0,"",REVEX!$E$9)</f>
        <v>0</v>
      </c>
      <c r="AJ7" s="72" t="str">
        <f>IF(SalCommune[[#This Row],[Allocations fonctions]]="","",IF(ISNA(VLOOKUP(SalCommune[[#This Row],[Allocations fonctions]],DROPDOWN[Dropdown82],1,FALSE))=TRUE,"&lt;-- Veuillez choisir l'allocation parmis la liste déroulante.",""))</f>
        <v/>
      </c>
    </row>
    <row r="8" spans="1:36" x14ac:dyDescent="0.25">
      <c r="A8" s="72" t="str">
        <f>IF(SalCommune[[#This Row],[Statut]]="","",IF(ISNA(VLOOKUP(SalCommune[[#This Row],[Statut]],'Grille communale'!$B$3:$B$5,1,FALSE))=TRUE,"Veuillez choisir le statut parmis la liste déroulante",""))</f>
        <v/>
      </c>
      <c r="B8" s="725" t="str">
        <f>IF(SalCommune[[#This Row],[Matricule]]="","",MAX($B$7:B7)+1)</f>
        <v/>
      </c>
      <c r="C8" s="8"/>
      <c r="D8" s="8"/>
      <c r="E8" s="20"/>
      <c r="F8" s="8"/>
      <c r="G8" s="8"/>
      <c r="H8" s="9"/>
      <c r="I8" s="9"/>
      <c r="J8" s="9"/>
      <c r="K8" s="10"/>
      <c r="L8" s="10"/>
      <c r="M8" s="9"/>
      <c r="N8" s="9"/>
      <c r="O8" s="9"/>
      <c r="P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 s="9"/>
      <c r="R8" s="9"/>
      <c r="S8" s="9"/>
      <c r="T8" s="37"/>
      <c r="U8" s="37"/>
      <c r="V8" s="37"/>
      <c r="W8" s="37"/>
      <c r="X8" s="37"/>
      <c r="Y8" s="37"/>
      <c r="Z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 s="37"/>
      <c r="AB8" s="66" t="str">
        <f>IF(COUNTA(SalCommune[[#This Row],[Nom]:[heures annuelles
selon contrat(s)]])=0,"",SalCommune[[#This Row],[Total global]]-ABS(SalCommune[[#This Row],[Dont non opposable]]))</f>
        <v/>
      </c>
      <c r="AC8" s="8"/>
      <c r="AD8" s="63"/>
      <c r="AE8" s="430"/>
      <c r="AF8" s="430"/>
      <c r="AG8" s="430"/>
      <c r="AH8" s="181"/>
      <c r="AI8" s="194">
        <f>IF(COUNTA(SalCommune[[#This Row],[N°]:[heures annuelles
selon contrat(s)]])=0,"",REVEX!$E$9)</f>
        <v>0</v>
      </c>
      <c r="AJ8" s="72" t="str">
        <f>IF(SalCommune[[#This Row],[Allocations fonctions]]="","",IF(ISNA(VLOOKUP(SalCommune[[#This Row],[Allocations fonctions]],DROPDOWN[Dropdown82],1,FALSE))=TRUE,"&lt;-- Veuillez choisir l'allocation parmis la liste déroulante.",""))</f>
        <v/>
      </c>
    </row>
    <row r="9" spans="1:36" x14ac:dyDescent="0.25">
      <c r="A9" s="72" t="str">
        <f>IF(SalCommune[[#This Row],[Statut]]="","",IF(ISNA(VLOOKUP(SalCommune[[#This Row],[Statut]],'Grille communale'!$B$3:$B$5,1,FALSE))=TRUE,"Veuillez choisir le statut parmis la liste déroulante",""))</f>
        <v/>
      </c>
      <c r="B9" s="725" t="str">
        <f>IF(SalCommune[[#This Row],[Matricule]]="","",MAX($B$7:B8)+1)</f>
        <v/>
      </c>
      <c r="C9" s="8"/>
      <c r="D9" s="8"/>
      <c r="E9" s="20"/>
      <c r="F9" s="8"/>
      <c r="G9" s="8"/>
      <c r="H9" s="9"/>
      <c r="I9" s="9"/>
      <c r="J9" s="9"/>
      <c r="K9" s="10"/>
      <c r="L9" s="10"/>
      <c r="M9" s="9"/>
      <c r="N9" s="9"/>
      <c r="O9" s="9"/>
      <c r="P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 s="9"/>
      <c r="R9" s="9"/>
      <c r="S9" s="9"/>
      <c r="T9" s="37"/>
      <c r="U9" s="37"/>
      <c r="V9" s="37"/>
      <c r="W9" s="37"/>
      <c r="X9" s="37"/>
      <c r="Y9" s="37"/>
      <c r="Z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 s="37"/>
      <c r="AB9" s="66" t="str">
        <f>IF(COUNTA(SalCommune[[#This Row],[Nom]:[heures annuelles
selon contrat(s)]])=0,"",SalCommune[[#This Row],[Total global]]-ABS(SalCommune[[#This Row],[Dont non opposable]]))</f>
        <v/>
      </c>
      <c r="AC9" s="8"/>
      <c r="AD9" s="63"/>
      <c r="AE9" s="430"/>
      <c r="AF9" s="430"/>
      <c r="AG9" s="430"/>
      <c r="AH9" s="181"/>
      <c r="AI9" s="194">
        <f>IF(COUNTA(SalCommune[[#This Row],[N°]:[heures annuelles
selon contrat(s)]])=0,"",REVEX!$E$9)</f>
        <v>0</v>
      </c>
      <c r="AJ9" s="72" t="str">
        <f>IF(SalCommune[[#This Row],[Allocations fonctions]]="","",IF(ISNA(VLOOKUP(SalCommune[[#This Row],[Allocations fonctions]],DROPDOWN[Dropdown82],1,FALSE))=TRUE,"&lt;-- Veuillez choisir l'allocation parmis la liste déroulante.",""))</f>
        <v/>
      </c>
    </row>
    <row r="10" spans="1:36" x14ac:dyDescent="0.25">
      <c r="A10" s="72" t="str">
        <f>IF(SalCommune[[#This Row],[Statut]]="","",IF(ISNA(VLOOKUP(SalCommune[[#This Row],[Statut]],'Grille communale'!$B$3:$B$5,1,FALSE))=TRUE,"Veuillez choisir le statut parmis la liste déroulante",""))</f>
        <v/>
      </c>
      <c r="B10" s="725" t="str">
        <f>IF(SalCommune[[#This Row],[Matricule]]="","",MAX($B$7:B9)+1)</f>
        <v/>
      </c>
      <c r="C10" s="8"/>
      <c r="D10" s="8"/>
      <c r="E10" s="20"/>
      <c r="F10" s="8"/>
      <c r="G10" s="8"/>
      <c r="H10" s="9"/>
      <c r="I10" s="9"/>
      <c r="J10" s="9"/>
      <c r="K10" s="10"/>
      <c r="L10" s="10"/>
      <c r="M10" s="9"/>
      <c r="N10" s="9"/>
      <c r="O10" s="9"/>
      <c r="P1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 s="9"/>
      <c r="R10" s="9"/>
      <c r="S10" s="9"/>
      <c r="T10" s="37"/>
      <c r="U10" s="37"/>
      <c r="V10" s="37"/>
      <c r="W10" s="37"/>
      <c r="X10" s="37"/>
      <c r="Y10" s="37"/>
      <c r="Z1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 s="37"/>
      <c r="AB10" s="66" t="str">
        <f>IF(COUNTA(SalCommune[[#This Row],[Nom]:[heures annuelles
selon contrat(s)]])=0,"",SalCommune[[#This Row],[Total global]]-ABS(SalCommune[[#This Row],[Dont non opposable]]))</f>
        <v/>
      </c>
      <c r="AC10" s="8"/>
      <c r="AD10" s="63"/>
      <c r="AE10" s="430"/>
      <c r="AF10" s="430"/>
      <c r="AG10" s="430"/>
      <c r="AH10" s="181"/>
      <c r="AI10" s="194">
        <f>IF(COUNTA(SalCommune[[#This Row],[N°]:[heures annuelles
selon contrat(s)]])=0,"",REVEX!$E$9)</f>
        <v>0</v>
      </c>
      <c r="AJ10" s="72" t="str">
        <f>IF(SalCommune[[#This Row],[Allocations fonctions]]="","",IF(ISNA(VLOOKUP(SalCommune[[#This Row],[Allocations fonctions]],DROPDOWN[Dropdown82],1,FALSE))=TRUE,"&lt;-- Veuillez choisir l'allocation parmis la liste déroulante.",""))</f>
        <v/>
      </c>
    </row>
    <row r="11" spans="1:36" x14ac:dyDescent="0.25">
      <c r="A11" s="72" t="str">
        <f>IF(SalCommune[[#This Row],[Statut]]="","",IF(ISNA(VLOOKUP(SalCommune[[#This Row],[Statut]],'Grille communale'!$B$3:$B$5,1,FALSE))=TRUE,"Veuillez choisir le statut parmis la liste déroulante",""))</f>
        <v/>
      </c>
      <c r="B11" s="725" t="str">
        <f>IF(SalCommune[[#This Row],[Matricule]]="","",MAX($B$7:B10)+1)</f>
        <v/>
      </c>
      <c r="C11" s="8"/>
      <c r="D11" s="8"/>
      <c r="E11" s="20"/>
      <c r="F11" s="8"/>
      <c r="G11" s="8"/>
      <c r="H11" s="9"/>
      <c r="I11" s="9"/>
      <c r="J11" s="9"/>
      <c r="K11" s="10"/>
      <c r="L11" s="10"/>
      <c r="M11" s="9"/>
      <c r="N11" s="9"/>
      <c r="O11" s="9"/>
      <c r="P1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 s="9"/>
      <c r="R11" s="9"/>
      <c r="S11" s="9"/>
      <c r="T11" s="37"/>
      <c r="U11" s="37"/>
      <c r="V11" s="37"/>
      <c r="W11" s="37"/>
      <c r="X11" s="37"/>
      <c r="Y11" s="37"/>
      <c r="Z1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 s="37"/>
      <c r="AB11" s="66" t="str">
        <f>IF(COUNTA(SalCommune[[#This Row],[Nom]:[heures annuelles
selon contrat(s)]])=0,"",SalCommune[[#This Row],[Total global]]-ABS(SalCommune[[#This Row],[Dont non opposable]]))</f>
        <v/>
      </c>
      <c r="AC11" s="8"/>
      <c r="AD11" s="63"/>
      <c r="AE11" s="430"/>
      <c r="AF11" s="430"/>
      <c r="AG11" s="430"/>
      <c r="AH11" s="181"/>
      <c r="AI11" s="194">
        <f>IF(COUNTA(SalCommune[[#This Row],[N°]:[heures annuelles
selon contrat(s)]])=0,"",REVEX!$E$9)</f>
        <v>0</v>
      </c>
      <c r="AJ11" s="72" t="str">
        <f>IF(SalCommune[[#This Row],[Allocations fonctions]]="","",IF(ISNA(VLOOKUP(SalCommune[[#This Row],[Allocations fonctions]],DROPDOWN[Dropdown82],1,FALSE))=TRUE,"&lt;-- Veuillez choisir l'allocation parmis la liste déroulante.",""))</f>
        <v/>
      </c>
    </row>
    <row r="12" spans="1:36" x14ac:dyDescent="0.25">
      <c r="A12" s="72" t="str">
        <f>IF(SalCommune[[#This Row],[Statut]]="","",IF(ISNA(VLOOKUP(SalCommune[[#This Row],[Statut]],'Grille communale'!$B$3:$B$5,1,FALSE))=TRUE,"Veuillez choisir le statut parmis la liste déroulante",""))</f>
        <v/>
      </c>
      <c r="B12" s="725" t="str">
        <f>IF(SalCommune[[#This Row],[Matricule]]="","",MAX($B$7:B11)+1)</f>
        <v/>
      </c>
      <c r="C12" s="8"/>
      <c r="D12" s="8"/>
      <c r="E12" s="20"/>
      <c r="F12" s="8"/>
      <c r="G12" s="8"/>
      <c r="H12" s="9"/>
      <c r="I12" s="9"/>
      <c r="J12" s="9"/>
      <c r="K12" s="10"/>
      <c r="L12" s="10"/>
      <c r="M12" s="9"/>
      <c r="N12" s="9"/>
      <c r="O12" s="9"/>
      <c r="P1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 s="9"/>
      <c r="R12" s="9"/>
      <c r="S12" s="9"/>
      <c r="T12" s="37"/>
      <c r="U12" s="37"/>
      <c r="V12" s="37"/>
      <c r="W12" s="37"/>
      <c r="X12" s="37"/>
      <c r="Y12" s="37"/>
      <c r="Z1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 s="37"/>
      <c r="AB12" s="66" t="str">
        <f>IF(COUNTA(SalCommune[[#This Row],[Nom]:[heures annuelles
selon contrat(s)]])=0,"",SalCommune[[#This Row],[Total global]]-ABS(SalCommune[[#This Row],[Dont non opposable]]))</f>
        <v/>
      </c>
      <c r="AC12" s="8"/>
      <c r="AD12" s="63"/>
      <c r="AE12" s="430"/>
      <c r="AF12" s="430"/>
      <c r="AG12" s="430"/>
      <c r="AH12" s="181"/>
      <c r="AI12" s="194">
        <f>IF(COUNTA(SalCommune[[#This Row],[N°]:[heures annuelles
selon contrat(s)]])=0,"",REVEX!$E$9)</f>
        <v>0</v>
      </c>
      <c r="AJ12" s="72" t="str">
        <f>IF(SalCommune[[#This Row],[Allocations fonctions]]="","",IF(ISNA(VLOOKUP(SalCommune[[#This Row],[Allocations fonctions]],DROPDOWN[Dropdown82],1,FALSE))=TRUE,"&lt;-- Veuillez choisir l'allocation parmis la liste déroulante.",""))</f>
        <v/>
      </c>
    </row>
    <row r="13" spans="1:36" x14ac:dyDescent="0.25">
      <c r="A13" s="72" t="str">
        <f>IF(SalCommune[[#This Row],[Statut]]="","",IF(ISNA(VLOOKUP(SalCommune[[#This Row],[Statut]],'Grille communale'!$B$3:$B$5,1,FALSE))=TRUE,"Veuillez choisir le statut parmis la liste déroulante",""))</f>
        <v/>
      </c>
      <c r="B13" s="725" t="str">
        <f>IF(SalCommune[[#This Row],[Matricule]]="","",MAX($B$7:B12)+1)</f>
        <v/>
      </c>
      <c r="C13" s="8"/>
      <c r="D13" s="8"/>
      <c r="E13" s="20"/>
      <c r="F13" s="8"/>
      <c r="G13" s="8"/>
      <c r="H13" s="9"/>
      <c r="I13" s="9"/>
      <c r="J13" s="9"/>
      <c r="K13" s="10"/>
      <c r="L13" s="10"/>
      <c r="M13" s="9"/>
      <c r="N13" s="9"/>
      <c r="O13" s="9"/>
      <c r="P1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 s="9"/>
      <c r="R13" s="9"/>
      <c r="S13" s="9"/>
      <c r="T13" s="37"/>
      <c r="U13" s="37"/>
      <c r="V13" s="37"/>
      <c r="W13" s="37"/>
      <c r="X13" s="37"/>
      <c r="Y13" s="37"/>
      <c r="Z1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 s="37"/>
      <c r="AB13" s="66" t="str">
        <f>IF(COUNTA(SalCommune[[#This Row],[Nom]:[heures annuelles
selon contrat(s)]])=0,"",SalCommune[[#This Row],[Total global]]-ABS(SalCommune[[#This Row],[Dont non opposable]]))</f>
        <v/>
      </c>
      <c r="AC13" s="8"/>
      <c r="AD13" s="63"/>
      <c r="AE13" s="430"/>
      <c r="AF13" s="430"/>
      <c r="AG13" s="430"/>
      <c r="AH13" s="181"/>
      <c r="AI13" s="194">
        <f>IF(COUNTA(SalCommune[[#This Row],[N°]:[heures annuelles
selon contrat(s)]])=0,"",REVEX!$E$9)</f>
        <v>0</v>
      </c>
      <c r="AJ13" s="72" t="str">
        <f>IF(SalCommune[[#This Row],[Allocations fonctions]]="","",IF(ISNA(VLOOKUP(SalCommune[[#This Row],[Allocations fonctions]],DROPDOWN[Dropdown82],1,FALSE))=TRUE,"&lt;-- Veuillez choisir l'allocation parmis la liste déroulante.",""))</f>
        <v/>
      </c>
    </row>
    <row r="14" spans="1:36" x14ac:dyDescent="0.25">
      <c r="A14" s="72" t="str">
        <f>IF(SalCommune[[#This Row],[Statut]]="","",IF(ISNA(VLOOKUP(SalCommune[[#This Row],[Statut]],'Grille communale'!$B$3:$B$5,1,FALSE))=TRUE,"Veuillez choisir le statut parmis la liste déroulante",""))</f>
        <v/>
      </c>
      <c r="B14" s="725" t="str">
        <f>IF(SalCommune[[#This Row],[Matricule]]="","",MAX($B$7:B13)+1)</f>
        <v/>
      </c>
      <c r="C14" s="8"/>
      <c r="D14" s="8"/>
      <c r="E14" s="20"/>
      <c r="F14" s="8"/>
      <c r="G14" s="8"/>
      <c r="H14" s="9"/>
      <c r="I14" s="9"/>
      <c r="J14" s="9"/>
      <c r="K14" s="10"/>
      <c r="L14" s="10"/>
      <c r="M14" s="9"/>
      <c r="N14" s="9"/>
      <c r="O14" s="9"/>
      <c r="P1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 s="9"/>
      <c r="R14" s="9"/>
      <c r="S14" s="9"/>
      <c r="T14" s="37"/>
      <c r="U14" s="37"/>
      <c r="V14" s="37"/>
      <c r="W14" s="37"/>
      <c r="X14" s="37"/>
      <c r="Y14" s="37"/>
      <c r="Z1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 s="37"/>
      <c r="AB14" s="66" t="str">
        <f>IF(COUNTA(SalCommune[[#This Row],[Nom]:[heures annuelles
selon contrat(s)]])=0,"",SalCommune[[#This Row],[Total global]]-ABS(SalCommune[[#This Row],[Dont non opposable]]))</f>
        <v/>
      </c>
      <c r="AC14" s="8"/>
      <c r="AD14" s="63"/>
      <c r="AE14" s="430"/>
      <c r="AF14" s="430"/>
      <c r="AG14" s="430"/>
      <c r="AH14" s="181"/>
      <c r="AI14" s="194">
        <f>IF(COUNTA(SalCommune[[#This Row],[N°]:[heures annuelles
selon contrat(s)]])=0,"",REVEX!$E$9)</f>
        <v>0</v>
      </c>
      <c r="AJ14" s="72" t="str">
        <f>IF(SalCommune[[#This Row],[Allocations fonctions]]="","",IF(ISNA(VLOOKUP(SalCommune[[#This Row],[Allocations fonctions]],DROPDOWN[Dropdown82],1,FALSE))=TRUE,"&lt;-- Veuillez choisir l'allocation parmis la liste déroulante.",""))</f>
        <v/>
      </c>
    </row>
    <row r="15" spans="1:36" x14ac:dyDescent="0.25">
      <c r="A15" s="72" t="str">
        <f>IF(SalCommune[[#This Row],[Statut]]="","",IF(ISNA(VLOOKUP(SalCommune[[#This Row],[Statut]],'Grille communale'!$B$3:$B$5,1,FALSE))=TRUE,"Veuillez choisir le statut parmis la liste déroulante",""))</f>
        <v/>
      </c>
      <c r="B15" s="725" t="str">
        <f>IF(SalCommune[[#This Row],[Matricule]]="","",MAX($B$7:B14)+1)</f>
        <v/>
      </c>
      <c r="C15" s="8"/>
      <c r="D15" s="8"/>
      <c r="E15" s="20"/>
      <c r="F15" s="8"/>
      <c r="G15" s="8"/>
      <c r="H15" s="9"/>
      <c r="I15" s="9"/>
      <c r="J15" s="9"/>
      <c r="K15" s="10"/>
      <c r="L15" s="10"/>
      <c r="M15" s="9"/>
      <c r="N15" s="9"/>
      <c r="O15" s="9"/>
      <c r="P1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 s="9"/>
      <c r="R15" s="9"/>
      <c r="S15" s="9"/>
      <c r="T15" s="37"/>
      <c r="U15" s="37"/>
      <c r="V15" s="37"/>
      <c r="W15" s="37"/>
      <c r="X15" s="37"/>
      <c r="Y15" s="37"/>
      <c r="Z1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 s="37"/>
      <c r="AB15" s="66" t="str">
        <f>IF(COUNTA(SalCommune[[#This Row],[Nom]:[heures annuelles
selon contrat(s)]])=0,"",SalCommune[[#This Row],[Total global]]-ABS(SalCommune[[#This Row],[Dont non opposable]]))</f>
        <v/>
      </c>
      <c r="AC15" s="8"/>
      <c r="AD15" s="63"/>
      <c r="AE15" s="430"/>
      <c r="AF15" s="430"/>
      <c r="AG15" s="430"/>
      <c r="AH15" s="181"/>
      <c r="AI15" s="194">
        <f>IF(COUNTA(SalCommune[[#This Row],[N°]:[heures annuelles
selon contrat(s)]])=0,"",REVEX!$E$9)</f>
        <v>0</v>
      </c>
      <c r="AJ15" s="72" t="str">
        <f>IF(SalCommune[[#This Row],[Allocations fonctions]]="","",IF(ISNA(VLOOKUP(SalCommune[[#This Row],[Allocations fonctions]],DROPDOWN[Dropdown82],1,FALSE))=TRUE,"&lt;-- Veuillez choisir l'allocation parmis la liste déroulante.",""))</f>
        <v/>
      </c>
    </row>
    <row r="16" spans="1:36" x14ac:dyDescent="0.25">
      <c r="A16" s="72" t="str">
        <f>IF(SalCommune[[#This Row],[Statut]]="","",IF(ISNA(VLOOKUP(SalCommune[[#This Row],[Statut]],'Grille communale'!$B$3:$B$5,1,FALSE))=TRUE,"Veuillez choisir le statut parmis la liste déroulante",""))</f>
        <v/>
      </c>
      <c r="B16" s="725" t="str">
        <f>IF(SalCommune[[#This Row],[Matricule]]="","",MAX($B$7:B15)+1)</f>
        <v/>
      </c>
      <c r="C16" s="8"/>
      <c r="D16" s="8"/>
      <c r="E16" s="20"/>
      <c r="F16" s="8"/>
      <c r="G16" s="8"/>
      <c r="H16" s="9"/>
      <c r="I16" s="9"/>
      <c r="J16" s="9"/>
      <c r="K16" s="10"/>
      <c r="L16" s="10"/>
      <c r="M16" s="9"/>
      <c r="N16" s="9"/>
      <c r="O16" s="9"/>
      <c r="P1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 s="9"/>
      <c r="R16" s="9"/>
      <c r="S16" s="9"/>
      <c r="T16" s="37"/>
      <c r="U16" s="37"/>
      <c r="V16" s="37"/>
      <c r="W16" s="37"/>
      <c r="X16" s="37"/>
      <c r="Y16" s="37"/>
      <c r="Z1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 s="37"/>
      <c r="AB16" s="66" t="str">
        <f>IF(COUNTA(SalCommune[[#This Row],[Nom]:[heures annuelles
selon contrat(s)]])=0,"",SalCommune[[#This Row],[Total global]]-ABS(SalCommune[[#This Row],[Dont non opposable]]))</f>
        <v/>
      </c>
      <c r="AC16" s="8"/>
      <c r="AD16" s="63"/>
      <c r="AE16" s="430"/>
      <c r="AF16" s="430"/>
      <c r="AG16" s="430"/>
      <c r="AH16" s="181"/>
      <c r="AI16" s="194">
        <f>IF(COUNTA(SalCommune[[#This Row],[N°]:[heures annuelles
selon contrat(s)]])=0,"",REVEX!$E$9)</f>
        <v>0</v>
      </c>
      <c r="AJ16" s="72" t="str">
        <f>IF(SalCommune[[#This Row],[Allocations fonctions]]="","",IF(ISNA(VLOOKUP(SalCommune[[#This Row],[Allocations fonctions]],DROPDOWN[Dropdown82],1,FALSE))=TRUE,"&lt;-- Veuillez choisir l'allocation parmis la liste déroulante.",""))</f>
        <v/>
      </c>
    </row>
    <row r="17" spans="1:36" x14ac:dyDescent="0.25">
      <c r="A17" s="72" t="str">
        <f>IF(SalCommune[[#This Row],[Statut]]="","",IF(ISNA(VLOOKUP(SalCommune[[#This Row],[Statut]],'Grille communale'!$B$3:$B$5,1,FALSE))=TRUE,"Veuillez choisir le statut parmis la liste déroulante",""))</f>
        <v/>
      </c>
      <c r="B17" s="725" t="str">
        <f>IF(SalCommune[[#This Row],[Matricule]]="","",MAX($B$7:B16)+1)</f>
        <v/>
      </c>
      <c r="C17" s="8"/>
      <c r="D17" s="8"/>
      <c r="E17" s="20"/>
      <c r="F17" s="8"/>
      <c r="G17" s="8"/>
      <c r="H17" s="9"/>
      <c r="I17" s="9"/>
      <c r="J17" s="9"/>
      <c r="K17" s="10"/>
      <c r="L17" s="10"/>
      <c r="M17" s="9"/>
      <c r="N17" s="9"/>
      <c r="O17" s="9"/>
      <c r="P1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 s="9"/>
      <c r="R17" s="9"/>
      <c r="S17" s="9"/>
      <c r="T17" s="37"/>
      <c r="U17" s="37"/>
      <c r="V17" s="37"/>
      <c r="W17" s="37"/>
      <c r="X17" s="37"/>
      <c r="Y17" s="37"/>
      <c r="Z1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 s="37"/>
      <c r="AB17" s="66" t="str">
        <f>IF(COUNTA(SalCommune[[#This Row],[Nom]:[heures annuelles
selon contrat(s)]])=0,"",SalCommune[[#This Row],[Total global]]-ABS(SalCommune[[#This Row],[Dont non opposable]]))</f>
        <v/>
      </c>
      <c r="AC17" s="8"/>
      <c r="AD17" s="63"/>
      <c r="AE17" s="430"/>
      <c r="AF17" s="430"/>
      <c r="AG17" s="430"/>
      <c r="AH17" s="181"/>
      <c r="AI17" s="194">
        <f>IF(COUNTA(SalCommune[[#This Row],[N°]:[heures annuelles
selon contrat(s)]])=0,"",REVEX!$E$9)</f>
        <v>0</v>
      </c>
      <c r="AJ17" s="72" t="str">
        <f>IF(SalCommune[[#This Row],[Allocations fonctions]]="","",IF(ISNA(VLOOKUP(SalCommune[[#This Row],[Allocations fonctions]],DROPDOWN[Dropdown82],1,FALSE))=TRUE,"&lt;-- Veuillez choisir l'allocation parmis la liste déroulante.",""))</f>
        <v/>
      </c>
    </row>
    <row r="18" spans="1:36" x14ac:dyDescent="0.25">
      <c r="A18" s="72" t="str">
        <f>IF(SalCommune[[#This Row],[Statut]]="","",IF(ISNA(VLOOKUP(SalCommune[[#This Row],[Statut]],'Grille communale'!$B$3:$B$5,1,FALSE))=TRUE,"Veuillez choisir le statut parmis la liste déroulante",""))</f>
        <v/>
      </c>
      <c r="B18" s="725" t="str">
        <f>IF(SalCommune[[#This Row],[Matricule]]="","",MAX($B$7:B17)+1)</f>
        <v/>
      </c>
      <c r="C18" s="8"/>
      <c r="D18" s="8"/>
      <c r="E18" s="20"/>
      <c r="F18" s="8"/>
      <c r="G18" s="8"/>
      <c r="H18" s="9"/>
      <c r="I18" s="9"/>
      <c r="J18" s="9"/>
      <c r="K18" s="10"/>
      <c r="L18" s="10"/>
      <c r="M18" s="9"/>
      <c r="N18" s="9"/>
      <c r="O18" s="9"/>
      <c r="P1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 s="9"/>
      <c r="R18" s="9"/>
      <c r="S18" s="9"/>
      <c r="T18" s="37"/>
      <c r="U18" s="37"/>
      <c r="V18" s="37"/>
      <c r="W18" s="37"/>
      <c r="X18" s="37"/>
      <c r="Y18" s="37"/>
      <c r="Z1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 s="37"/>
      <c r="AB18" s="66" t="str">
        <f>IF(COUNTA(SalCommune[[#This Row],[Nom]:[heures annuelles
selon contrat(s)]])=0,"",SalCommune[[#This Row],[Total global]]-ABS(SalCommune[[#This Row],[Dont non opposable]]))</f>
        <v/>
      </c>
      <c r="AC18" s="8"/>
      <c r="AD18" s="63"/>
      <c r="AE18" s="430"/>
      <c r="AF18" s="430"/>
      <c r="AG18" s="430"/>
      <c r="AH18" s="181"/>
      <c r="AI18" s="194">
        <f>IF(COUNTA(SalCommune[[#This Row],[N°]:[heures annuelles
selon contrat(s)]])=0,"",REVEX!$E$9)</f>
        <v>0</v>
      </c>
      <c r="AJ18" s="72" t="str">
        <f>IF(SalCommune[[#This Row],[Allocations fonctions]]="","",IF(ISNA(VLOOKUP(SalCommune[[#This Row],[Allocations fonctions]],DROPDOWN[Dropdown82],1,FALSE))=TRUE,"&lt;-- Veuillez choisir l'allocation parmis la liste déroulante.",""))</f>
        <v/>
      </c>
    </row>
    <row r="19" spans="1:36" x14ac:dyDescent="0.25">
      <c r="A19" s="72" t="str">
        <f>IF(SalCommune[[#This Row],[Statut]]="","",IF(ISNA(VLOOKUP(SalCommune[[#This Row],[Statut]],'Grille communale'!$B$3:$B$5,1,FALSE))=TRUE,"Veuillez choisir le statut parmis la liste déroulante",""))</f>
        <v/>
      </c>
      <c r="B19" s="725" t="str">
        <f>IF(SalCommune[[#This Row],[Matricule]]="","",MAX($B$7:B18)+1)</f>
        <v/>
      </c>
      <c r="C19" s="8"/>
      <c r="D19" s="8"/>
      <c r="E19" s="20"/>
      <c r="F19" s="8"/>
      <c r="G19" s="8"/>
      <c r="H19" s="9"/>
      <c r="I19" s="9"/>
      <c r="J19" s="9"/>
      <c r="K19" s="10"/>
      <c r="L19" s="10"/>
      <c r="M19" s="9"/>
      <c r="N19" s="9"/>
      <c r="O19" s="9"/>
      <c r="P1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 s="9"/>
      <c r="R19" s="9"/>
      <c r="S19" s="9"/>
      <c r="T19" s="37"/>
      <c r="U19" s="37"/>
      <c r="V19" s="37"/>
      <c r="W19" s="37"/>
      <c r="X19" s="37"/>
      <c r="Y19" s="37"/>
      <c r="Z1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 s="37"/>
      <c r="AB19" s="66" t="str">
        <f>IF(COUNTA(SalCommune[[#This Row],[Nom]:[heures annuelles
selon contrat(s)]])=0,"",SalCommune[[#This Row],[Total global]]-ABS(SalCommune[[#This Row],[Dont non opposable]]))</f>
        <v/>
      </c>
      <c r="AC19" s="8"/>
      <c r="AD19" s="63"/>
      <c r="AE19" s="430"/>
      <c r="AF19" s="430"/>
      <c r="AG19" s="430"/>
      <c r="AH19" s="181"/>
      <c r="AI19" s="194">
        <f>IF(COUNTA(SalCommune[[#This Row],[N°]:[heures annuelles
selon contrat(s)]])=0,"",REVEX!$E$9)</f>
        <v>0</v>
      </c>
      <c r="AJ19" s="72" t="str">
        <f>IF(SalCommune[[#This Row],[Allocations fonctions]]="","",IF(ISNA(VLOOKUP(SalCommune[[#This Row],[Allocations fonctions]],DROPDOWN[Dropdown82],1,FALSE))=TRUE,"&lt;-- Veuillez choisir l'allocation parmis la liste déroulante.",""))</f>
        <v/>
      </c>
    </row>
    <row r="20" spans="1:36" x14ac:dyDescent="0.25">
      <c r="A20" s="72" t="str">
        <f>IF(SalCommune[[#This Row],[Statut]]="","",IF(ISNA(VLOOKUP(SalCommune[[#This Row],[Statut]],'Grille communale'!$B$3:$B$5,1,FALSE))=TRUE,"Veuillez choisir le statut parmis la liste déroulante",""))</f>
        <v/>
      </c>
      <c r="B20" s="725" t="str">
        <f>IF(SalCommune[[#This Row],[Matricule]]="","",MAX($B$7:B19)+1)</f>
        <v/>
      </c>
      <c r="C20" s="8"/>
      <c r="D20" s="8"/>
      <c r="E20" s="20"/>
      <c r="F20" s="8"/>
      <c r="G20" s="8"/>
      <c r="H20" s="9"/>
      <c r="I20" s="9"/>
      <c r="J20" s="9"/>
      <c r="K20" s="10"/>
      <c r="L20" s="10"/>
      <c r="M20" s="9"/>
      <c r="N20" s="9"/>
      <c r="O20" s="9"/>
      <c r="P2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 s="9"/>
      <c r="R20" s="9"/>
      <c r="S20" s="9"/>
      <c r="T20" s="37"/>
      <c r="U20" s="37"/>
      <c r="V20" s="37"/>
      <c r="W20" s="37"/>
      <c r="X20" s="37"/>
      <c r="Y20" s="37"/>
      <c r="Z2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 s="37"/>
      <c r="AB20" s="66" t="str">
        <f>IF(COUNTA(SalCommune[[#This Row],[Nom]:[heures annuelles
selon contrat(s)]])=0,"",SalCommune[[#This Row],[Total global]]-ABS(SalCommune[[#This Row],[Dont non opposable]]))</f>
        <v/>
      </c>
      <c r="AC20" s="8"/>
      <c r="AD20" s="63"/>
      <c r="AE20" s="430"/>
      <c r="AF20" s="430"/>
      <c r="AG20" s="430"/>
      <c r="AH20" s="181"/>
      <c r="AI20" s="194">
        <f>IF(COUNTA(SalCommune[[#This Row],[N°]:[heures annuelles
selon contrat(s)]])=0,"",REVEX!$E$9)</f>
        <v>0</v>
      </c>
      <c r="AJ20" s="72" t="str">
        <f>IF(SalCommune[[#This Row],[Allocations fonctions]]="","",IF(ISNA(VLOOKUP(SalCommune[[#This Row],[Allocations fonctions]],DROPDOWN[Dropdown82],1,FALSE))=TRUE,"&lt;-- Veuillez choisir l'allocation parmis la liste déroulante.",""))</f>
        <v/>
      </c>
    </row>
    <row r="21" spans="1:36" x14ac:dyDescent="0.25">
      <c r="A21" s="72" t="str">
        <f>IF(SalCommune[[#This Row],[Statut]]="","",IF(ISNA(VLOOKUP(SalCommune[[#This Row],[Statut]],'Grille communale'!$B$3:$B$5,1,FALSE))=TRUE,"Veuillez choisir le statut parmis la liste déroulante",""))</f>
        <v/>
      </c>
      <c r="B21" s="725" t="str">
        <f>IF(SalCommune[[#This Row],[Matricule]]="","",MAX($B$7:B20)+1)</f>
        <v/>
      </c>
      <c r="C21" s="8"/>
      <c r="D21" s="8"/>
      <c r="E21" s="20"/>
      <c r="F21" s="8"/>
      <c r="G21" s="8"/>
      <c r="H21" s="9"/>
      <c r="I21" s="9"/>
      <c r="J21" s="9"/>
      <c r="K21" s="10"/>
      <c r="L21" s="10"/>
      <c r="M21" s="9"/>
      <c r="N21" s="9"/>
      <c r="O21" s="9"/>
      <c r="P2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 s="9"/>
      <c r="R21" s="9"/>
      <c r="S21" s="9"/>
      <c r="T21" s="37"/>
      <c r="U21" s="37"/>
      <c r="V21" s="37"/>
      <c r="W21" s="37"/>
      <c r="X21" s="37"/>
      <c r="Y21" s="37"/>
      <c r="Z2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 s="37"/>
      <c r="AB21" s="66" t="str">
        <f>IF(COUNTA(SalCommune[[#This Row],[Nom]:[heures annuelles
selon contrat(s)]])=0,"",SalCommune[[#This Row],[Total global]]-ABS(SalCommune[[#This Row],[Dont non opposable]]))</f>
        <v/>
      </c>
      <c r="AC21" s="8"/>
      <c r="AD21" s="63"/>
      <c r="AE21" s="430"/>
      <c r="AF21" s="430"/>
      <c r="AG21" s="430"/>
      <c r="AH21" s="181"/>
      <c r="AI21" s="194">
        <f>IF(COUNTA(SalCommune[[#This Row],[N°]:[heures annuelles
selon contrat(s)]])=0,"",REVEX!$E$9)</f>
        <v>0</v>
      </c>
      <c r="AJ21" s="72" t="str">
        <f>IF(SalCommune[[#This Row],[Allocations fonctions]]="","",IF(ISNA(VLOOKUP(SalCommune[[#This Row],[Allocations fonctions]],DROPDOWN[Dropdown82],1,FALSE))=TRUE,"&lt;-- Veuillez choisir l'allocation parmis la liste déroulante.",""))</f>
        <v/>
      </c>
    </row>
    <row r="22" spans="1:36" x14ac:dyDescent="0.25">
      <c r="A22" s="72" t="str">
        <f>IF(SalCommune[[#This Row],[Statut]]="","",IF(ISNA(VLOOKUP(SalCommune[[#This Row],[Statut]],'Grille communale'!$B$3:$B$5,1,FALSE))=TRUE,"Veuillez choisir le statut parmis la liste déroulante",""))</f>
        <v/>
      </c>
      <c r="B22" s="725" t="str">
        <f>IF(SalCommune[[#This Row],[Matricule]]="","",MAX($B$7:B21)+1)</f>
        <v/>
      </c>
      <c r="C22" s="8"/>
      <c r="D22" s="8"/>
      <c r="E22" s="20"/>
      <c r="F22" s="8"/>
      <c r="G22" s="8"/>
      <c r="H22" s="9"/>
      <c r="I22" s="9"/>
      <c r="J22" s="9"/>
      <c r="K22" s="10"/>
      <c r="L22" s="10"/>
      <c r="M22" s="9"/>
      <c r="N22" s="9"/>
      <c r="O22" s="9"/>
      <c r="P2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 s="9"/>
      <c r="R22" s="9"/>
      <c r="S22" s="9"/>
      <c r="T22" s="37"/>
      <c r="U22" s="37"/>
      <c r="V22" s="37"/>
      <c r="W22" s="37"/>
      <c r="X22" s="37"/>
      <c r="Y22" s="37"/>
      <c r="Z2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 s="37"/>
      <c r="AB22" s="66" t="str">
        <f>IF(COUNTA(SalCommune[[#This Row],[Nom]:[heures annuelles
selon contrat(s)]])=0,"",SalCommune[[#This Row],[Total global]]-ABS(SalCommune[[#This Row],[Dont non opposable]]))</f>
        <v/>
      </c>
      <c r="AC22" s="8"/>
      <c r="AD22" s="63"/>
      <c r="AE22" s="430"/>
      <c r="AF22" s="430"/>
      <c r="AG22" s="430"/>
      <c r="AH22" s="181"/>
      <c r="AI22" s="194">
        <f>IF(COUNTA(SalCommune[[#This Row],[N°]:[heures annuelles
selon contrat(s)]])=0,"",REVEX!$E$9)</f>
        <v>0</v>
      </c>
      <c r="AJ22" s="72" t="str">
        <f>IF(SalCommune[[#This Row],[Allocations fonctions]]="","",IF(ISNA(VLOOKUP(SalCommune[[#This Row],[Allocations fonctions]],DROPDOWN[Dropdown82],1,FALSE))=TRUE,"&lt;-- Veuillez choisir l'allocation parmis la liste déroulante.",""))</f>
        <v/>
      </c>
    </row>
    <row r="23" spans="1:36" x14ac:dyDescent="0.25">
      <c r="A23" s="72" t="str">
        <f>IF(SalCommune[[#This Row],[Statut]]="","",IF(ISNA(VLOOKUP(SalCommune[[#This Row],[Statut]],'Grille communale'!$B$3:$B$5,1,FALSE))=TRUE,"Veuillez choisir le statut parmis la liste déroulante",""))</f>
        <v/>
      </c>
      <c r="B23" s="725" t="str">
        <f>IF(SalCommune[[#This Row],[Matricule]]="","",MAX($B$7:B22)+1)</f>
        <v/>
      </c>
      <c r="C23" s="8"/>
      <c r="D23" s="8"/>
      <c r="E23" s="20"/>
      <c r="F23" s="8"/>
      <c r="G23" s="8"/>
      <c r="H23" s="9"/>
      <c r="I23" s="9"/>
      <c r="J23" s="9"/>
      <c r="K23" s="10"/>
      <c r="L23" s="10"/>
      <c r="M23" s="9"/>
      <c r="N23" s="9"/>
      <c r="O23" s="9"/>
      <c r="P2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 s="9"/>
      <c r="R23" s="9"/>
      <c r="S23" s="9"/>
      <c r="T23" s="37"/>
      <c r="U23" s="37"/>
      <c r="V23" s="37"/>
      <c r="W23" s="37"/>
      <c r="X23" s="37"/>
      <c r="Y23" s="37"/>
      <c r="Z2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 s="37"/>
      <c r="AB23" s="66" t="str">
        <f>IF(COUNTA(SalCommune[[#This Row],[Nom]:[heures annuelles
selon contrat(s)]])=0,"",SalCommune[[#This Row],[Total global]]-ABS(SalCommune[[#This Row],[Dont non opposable]]))</f>
        <v/>
      </c>
      <c r="AC23" s="8"/>
      <c r="AD23" s="63"/>
      <c r="AE23" s="430"/>
      <c r="AF23" s="430"/>
      <c r="AG23" s="430"/>
      <c r="AH23" s="181"/>
      <c r="AI23" s="194">
        <f>IF(COUNTA(SalCommune[[#This Row],[N°]:[heures annuelles
selon contrat(s)]])=0,"",REVEX!$E$9)</f>
        <v>0</v>
      </c>
      <c r="AJ23" s="72" t="str">
        <f>IF(SalCommune[[#This Row],[Allocations fonctions]]="","",IF(ISNA(VLOOKUP(SalCommune[[#This Row],[Allocations fonctions]],DROPDOWN[Dropdown82],1,FALSE))=TRUE,"&lt;-- Veuillez choisir l'allocation parmis la liste déroulante.",""))</f>
        <v/>
      </c>
    </row>
    <row r="24" spans="1:36" x14ac:dyDescent="0.25">
      <c r="A24" s="72" t="str">
        <f>IF(SalCommune[[#This Row],[Statut]]="","",IF(ISNA(VLOOKUP(SalCommune[[#This Row],[Statut]],'Grille communale'!$B$3:$B$5,1,FALSE))=TRUE,"Veuillez choisir le statut parmis la liste déroulante",""))</f>
        <v/>
      </c>
      <c r="B24" s="725" t="str">
        <f>IF(SalCommune[[#This Row],[Matricule]]="","",MAX($B$7:B23)+1)</f>
        <v/>
      </c>
      <c r="C24" s="8"/>
      <c r="D24" s="8"/>
      <c r="E24" s="20"/>
      <c r="F24" s="8"/>
      <c r="G24" s="8"/>
      <c r="H24" s="9"/>
      <c r="I24" s="9"/>
      <c r="J24" s="9"/>
      <c r="K24" s="10"/>
      <c r="L24" s="10"/>
      <c r="M24" s="9"/>
      <c r="N24" s="9"/>
      <c r="O24" s="9"/>
      <c r="P2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 s="9"/>
      <c r="R24" s="9"/>
      <c r="S24" s="9"/>
      <c r="T24" s="37"/>
      <c r="U24" s="37"/>
      <c r="V24" s="37"/>
      <c r="W24" s="37"/>
      <c r="X24" s="37"/>
      <c r="Y24" s="37"/>
      <c r="Z2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 s="37"/>
      <c r="AB24" s="66" t="str">
        <f>IF(COUNTA(SalCommune[[#This Row],[Nom]:[heures annuelles
selon contrat(s)]])=0,"",SalCommune[[#This Row],[Total global]]-ABS(SalCommune[[#This Row],[Dont non opposable]]))</f>
        <v/>
      </c>
      <c r="AC24" s="8"/>
      <c r="AD24" s="63"/>
      <c r="AE24" s="430"/>
      <c r="AF24" s="430"/>
      <c r="AG24" s="430"/>
      <c r="AH24" s="181"/>
      <c r="AI24" s="194">
        <f>IF(COUNTA(SalCommune[[#This Row],[N°]:[heures annuelles
selon contrat(s)]])=0,"",REVEX!$E$9)</f>
        <v>0</v>
      </c>
      <c r="AJ24" s="72" t="str">
        <f>IF(SalCommune[[#This Row],[Allocations fonctions]]="","",IF(ISNA(VLOOKUP(SalCommune[[#This Row],[Allocations fonctions]],DROPDOWN[Dropdown82],1,FALSE))=TRUE,"&lt;-- Veuillez choisir l'allocation parmis la liste déroulante.",""))</f>
        <v/>
      </c>
    </row>
    <row r="25" spans="1:36" x14ac:dyDescent="0.25">
      <c r="A25" s="72" t="str">
        <f>IF(SalCommune[[#This Row],[Statut]]="","",IF(ISNA(VLOOKUP(SalCommune[[#This Row],[Statut]],'Grille communale'!$B$3:$B$5,1,FALSE))=TRUE,"Veuillez choisir le statut parmis la liste déroulante",""))</f>
        <v/>
      </c>
      <c r="B25" s="725" t="str">
        <f>IF(SalCommune[[#This Row],[Matricule]]="","",MAX($B$7:B24)+1)</f>
        <v/>
      </c>
      <c r="C25" s="8"/>
      <c r="D25" s="8"/>
      <c r="E25" s="20"/>
      <c r="F25" s="8"/>
      <c r="G25" s="8"/>
      <c r="H25" s="9"/>
      <c r="I25" s="9"/>
      <c r="J25" s="9"/>
      <c r="K25" s="10"/>
      <c r="L25" s="10"/>
      <c r="M25" s="9"/>
      <c r="N25" s="9"/>
      <c r="O25" s="9"/>
      <c r="P2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 s="9"/>
      <c r="R25" s="9"/>
      <c r="S25" s="9"/>
      <c r="T25" s="37"/>
      <c r="U25" s="37"/>
      <c r="V25" s="37"/>
      <c r="W25" s="37"/>
      <c r="X25" s="37"/>
      <c r="Y25" s="37"/>
      <c r="Z2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 s="37"/>
      <c r="AB25" s="66" t="str">
        <f>IF(COUNTA(SalCommune[[#This Row],[Nom]:[heures annuelles
selon contrat(s)]])=0,"",SalCommune[[#This Row],[Total global]]-ABS(SalCommune[[#This Row],[Dont non opposable]]))</f>
        <v/>
      </c>
      <c r="AC25" s="8"/>
      <c r="AD25" s="63"/>
      <c r="AE25" s="430"/>
      <c r="AF25" s="430"/>
      <c r="AG25" s="430"/>
      <c r="AH25" s="181"/>
      <c r="AI25" s="194">
        <f>IF(COUNTA(SalCommune[[#This Row],[N°]:[heures annuelles
selon contrat(s)]])=0,"",REVEX!$E$9)</f>
        <v>0</v>
      </c>
      <c r="AJ25" s="72" t="str">
        <f>IF(SalCommune[[#This Row],[Allocations fonctions]]="","",IF(ISNA(VLOOKUP(SalCommune[[#This Row],[Allocations fonctions]],DROPDOWN[Dropdown82],1,FALSE))=TRUE,"&lt;-- Veuillez choisir l'allocation parmis la liste déroulante.",""))</f>
        <v/>
      </c>
    </row>
    <row r="26" spans="1:36" x14ac:dyDescent="0.25">
      <c r="A26" s="72" t="str">
        <f>IF(SalCommune[[#This Row],[Statut]]="","",IF(ISNA(VLOOKUP(SalCommune[[#This Row],[Statut]],'Grille communale'!$B$3:$B$5,1,FALSE))=TRUE,"Veuillez choisir le statut parmis la liste déroulante",""))</f>
        <v/>
      </c>
      <c r="B26" s="725" t="str">
        <f>IF(SalCommune[[#This Row],[Matricule]]="","",MAX($B$7:B25)+1)</f>
        <v/>
      </c>
      <c r="C26" s="8"/>
      <c r="D26" s="8"/>
      <c r="E26" s="20"/>
      <c r="F26" s="8"/>
      <c r="G26" s="8"/>
      <c r="H26" s="9"/>
      <c r="I26" s="9"/>
      <c r="J26" s="9"/>
      <c r="K26" s="10"/>
      <c r="L26" s="10"/>
      <c r="M26" s="9"/>
      <c r="N26" s="9"/>
      <c r="O26" s="9"/>
      <c r="P2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 s="9"/>
      <c r="R26" s="9"/>
      <c r="S26" s="9"/>
      <c r="T26" s="37"/>
      <c r="U26" s="37"/>
      <c r="V26" s="37"/>
      <c r="W26" s="37"/>
      <c r="X26" s="37"/>
      <c r="Y26" s="37"/>
      <c r="Z2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 s="37"/>
      <c r="AB26" s="66" t="str">
        <f>IF(COUNTA(SalCommune[[#This Row],[Nom]:[heures annuelles
selon contrat(s)]])=0,"",SalCommune[[#This Row],[Total global]]-ABS(SalCommune[[#This Row],[Dont non opposable]]))</f>
        <v/>
      </c>
      <c r="AC26" s="8"/>
      <c r="AD26" s="63"/>
      <c r="AE26" s="430"/>
      <c r="AF26" s="430"/>
      <c r="AG26" s="430"/>
      <c r="AH26" s="181"/>
      <c r="AI26" s="194">
        <f>IF(COUNTA(SalCommune[[#This Row],[N°]:[heures annuelles
selon contrat(s)]])=0,"",REVEX!$E$9)</f>
        <v>0</v>
      </c>
      <c r="AJ26" s="72" t="str">
        <f>IF(SalCommune[[#This Row],[Allocations fonctions]]="","",IF(ISNA(VLOOKUP(SalCommune[[#This Row],[Allocations fonctions]],DROPDOWN[Dropdown82],1,FALSE))=TRUE,"&lt;-- Veuillez choisir l'allocation parmis la liste déroulante.",""))</f>
        <v/>
      </c>
    </row>
    <row r="27" spans="1:36" x14ac:dyDescent="0.25">
      <c r="A27" s="72" t="str">
        <f>IF(SalCommune[[#This Row],[Statut]]="","",IF(ISNA(VLOOKUP(SalCommune[[#This Row],[Statut]],'Grille communale'!$B$3:$B$5,1,FALSE))=TRUE,"Veuillez choisir le statut parmis la liste déroulante",""))</f>
        <v/>
      </c>
      <c r="B27" s="725" t="str">
        <f>IF(SalCommune[[#This Row],[Matricule]]="","",MAX($B$7:B26)+1)</f>
        <v/>
      </c>
      <c r="C27" s="8"/>
      <c r="D27" s="8"/>
      <c r="E27" s="20"/>
      <c r="F27" s="8"/>
      <c r="G27" s="8"/>
      <c r="H27" s="9"/>
      <c r="I27" s="9"/>
      <c r="J27" s="9"/>
      <c r="K27" s="10"/>
      <c r="L27" s="10"/>
      <c r="M27" s="9"/>
      <c r="N27" s="9"/>
      <c r="O27" s="9"/>
      <c r="P2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 s="9"/>
      <c r="R27" s="9"/>
      <c r="S27" s="9"/>
      <c r="T27" s="37"/>
      <c r="U27" s="37"/>
      <c r="V27" s="37"/>
      <c r="W27" s="37"/>
      <c r="X27" s="37"/>
      <c r="Y27" s="37"/>
      <c r="Z2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 s="37"/>
      <c r="AB27" s="66" t="str">
        <f>IF(COUNTA(SalCommune[[#This Row],[Nom]:[heures annuelles
selon contrat(s)]])=0,"",SalCommune[[#This Row],[Total global]]-ABS(SalCommune[[#This Row],[Dont non opposable]]))</f>
        <v/>
      </c>
      <c r="AC27" s="8"/>
      <c r="AD27" s="63"/>
      <c r="AE27" s="430"/>
      <c r="AF27" s="430"/>
      <c r="AG27" s="430"/>
      <c r="AH27" s="181"/>
      <c r="AI27" s="194">
        <f>IF(COUNTA(SalCommune[[#This Row],[N°]:[heures annuelles
selon contrat(s)]])=0,"",REVEX!$E$9)</f>
        <v>0</v>
      </c>
      <c r="AJ27" s="72" t="str">
        <f>IF(SalCommune[[#This Row],[Allocations fonctions]]="","",IF(ISNA(VLOOKUP(SalCommune[[#This Row],[Allocations fonctions]],DROPDOWN[Dropdown82],1,FALSE))=TRUE,"&lt;-- Veuillez choisir l'allocation parmis la liste déroulante.",""))</f>
        <v/>
      </c>
    </row>
    <row r="28" spans="1:36" x14ac:dyDescent="0.25">
      <c r="A28" s="72" t="str">
        <f>IF(SalCommune[[#This Row],[Statut]]="","",IF(ISNA(VLOOKUP(SalCommune[[#This Row],[Statut]],'Grille communale'!$B$3:$B$5,1,FALSE))=TRUE,"Veuillez choisir le statut parmis la liste déroulante",""))</f>
        <v/>
      </c>
      <c r="B28" s="725" t="str">
        <f>IF(SalCommune[[#This Row],[Matricule]]="","",MAX($B$7:B27)+1)</f>
        <v/>
      </c>
      <c r="C28" s="8"/>
      <c r="D28" s="8"/>
      <c r="E28" s="20"/>
      <c r="F28" s="8"/>
      <c r="G28" s="8"/>
      <c r="H28" s="9"/>
      <c r="I28" s="9"/>
      <c r="J28" s="9"/>
      <c r="K28" s="10"/>
      <c r="L28" s="10"/>
      <c r="M28" s="9"/>
      <c r="N28" s="9"/>
      <c r="O28" s="9"/>
      <c r="P2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 s="9"/>
      <c r="R28" s="9"/>
      <c r="S28" s="9"/>
      <c r="T28" s="37"/>
      <c r="U28" s="37"/>
      <c r="V28" s="37"/>
      <c r="W28" s="37"/>
      <c r="X28" s="37"/>
      <c r="Y28" s="37"/>
      <c r="Z2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 s="37"/>
      <c r="AB28" s="66" t="str">
        <f>IF(COUNTA(SalCommune[[#This Row],[Nom]:[heures annuelles
selon contrat(s)]])=0,"",SalCommune[[#This Row],[Total global]]-ABS(SalCommune[[#This Row],[Dont non opposable]]))</f>
        <v/>
      </c>
      <c r="AC28" s="8"/>
      <c r="AD28" s="63"/>
      <c r="AE28" s="430"/>
      <c r="AF28" s="430"/>
      <c r="AG28" s="430"/>
      <c r="AH28" s="181"/>
      <c r="AI28" s="194">
        <f>IF(COUNTA(SalCommune[[#This Row],[N°]:[heures annuelles
selon contrat(s)]])=0,"",REVEX!$E$9)</f>
        <v>0</v>
      </c>
      <c r="AJ28" s="72" t="str">
        <f>IF(SalCommune[[#This Row],[Allocations fonctions]]="","",IF(ISNA(VLOOKUP(SalCommune[[#This Row],[Allocations fonctions]],DROPDOWN[Dropdown82],1,FALSE))=TRUE,"&lt;-- Veuillez choisir l'allocation parmis la liste déroulante.",""))</f>
        <v/>
      </c>
    </row>
    <row r="29" spans="1:36" x14ac:dyDescent="0.25">
      <c r="A29" s="72" t="str">
        <f>IF(SalCommune[[#This Row],[Statut]]="","",IF(ISNA(VLOOKUP(SalCommune[[#This Row],[Statut]],'Grille communale'!$B$3:$B$5,1,FALSE))=TRUE,"Veuillez choisir le statut parmis la liste déroulante",""))</f>
        <v/>
      </c>
      <c r="B29" s="725" t="str">
        <f>IF(SalCommune[[#This Row],[Matricule]]="","",MAX($B$7:B28)+1)</f>
        <v/>
      </c>
      <c r="C29" s="8"/>
      <c r="D29" s="8"/>
      <c r="E29" s="20"/>
      <c r="F29" s="8"/>
      <c r="G29" s="8"/>
      <c r="H29" s="9"/>
      <c r="I29" s="9"/>
      <c r="J29" s="9"/>
      <c r="K29" s="10"/>
      <c r="L29" s="10"/>
      <c r="M29" s="9"/>
      <c r="N29" s="9"/>
      <c r="O29" s="9"/>
      <c r="P2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 s="9"/>
      <c r="R29" s="9"/>
      <c r="S29" s="9"/>
      <c r="T29" s="37"/>
      <c r="U29" s="37"/>
      <c r="V29" s="37"/>
      <c r="W29" s="37"/>
      <c r="X29" s="37"/>
      <c r="Y29" s="37"/>
      <c r="Z2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 s="37"/>
      <c r="AB29" s="66" t="str">
        <f>IF(COUNTA(SalCommune[[#This Row],[Nom]:[heures annuelles
selon contrat(s)]])=0,"",SalCommune[[#This Row],[Total global]]-ABS(SalCommune[[#This Row],[Dont non opposable]]))</f>
        <v/>
      </c>
      <c r="AC29" s="8"/>
      <c r="AD29" s="63"/>
      <c r="AE29" s="430"/>
      <c r="AF29" s="430"/>
      <c r="AG29" s="430"/>
      <c r="AH29" s="181"/>
      <c r="AI29" s="194">
        <f>IF(COUNTA(SalCommune[[#This Row],[N°]:[heures annuelles
selon contrat(s)]])=0,"",REVEX!$E$9)</f>
        <v>0</v>
      </c>
      <c r="AJ29" s="72" t="str">
        <f>IF(SalCommune[[#This Row],[Allocations fonctions]]="","",IF(ISNA(VLOOKUP(SalCommune[[#This Row],[Allocations fonctions]],DROPDOWN[Dropdown82],1,FALSE))=TRUE,"&lt;-- Veuillez choisir l'allocation parmis la liste déroulante.",""))</f>
        <v/>
      </c>
    </row>
    <row r="30" spans="1:36" x14ac:dyDescent="0.25">
      <c r="A30" s="72" t="str">
        <f>IF(SalCommune[[#This Row],[Statut]]="","",IF(ISNA(VLOOKUP(SalCommune[[#This Row],[Statut]],'Grille communale'!$B$3:$B$5,1,FALSE))=TRUE,"Veuillez choisir le statut parmis la liste déroulante",""))</f>
        <v/>
      </c>
      <c r="B30" s="725" t="str">
        <f>IF(SalCommune[[#This Row],[Matricule]]="","",MAX($B$7:B29)+1)</f>
        <v/>
      </c>
      <c r="C30" s="8"/>
      <c r="D30" s="8"/>
      <c r="E30" s="20"/>
      <c r="F30" s="8"/>
      <c r="G30" s="8"/>
      <c r="H30" s="9"/>
      <c r="I30" s="9"/>
      <c r="J30" s="9"/>
      <c r="K30" s="10"/>
      <c r="L30" s="10"/>
      <c r="M30" s="9"/>
      <c r="N30" s="9"/>
      <c r="O30" s="9"/>
      <c r="P3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 s="9"/>
      <c r="R30" s="9"/>
      <c r="S30" s="9"/>
      <c r="T30" s="37"/>
      <c r="U30" s="37"/>
      <c r="V30" s="37"/>
      <c r="W30" s="37"/>
      <c r="X30" s="37"/>
      <c r="Y30" s="37"/>
      <c r="Z3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 s="37"/>
      <c r="AB30" s="66" t="str">
        <f>IF(COUNTA(SalCommune[[#This Row],[Nom]:[heures annuelles
selon contrat(s)]])=0,"",SalCommune[[#This Row],[Total global]]-ABS(SalCommune[[#This Row],[Dont non opposable]]))</f>
        <v/>
      </c>
      <c r="AC30" s="8"/>
      <c r="AD30" s="63"/>
      <c r="AE30" s="430"/>
      <c r="AF30" s="430"/>
      <c r="AG30" s="430"/>
      <c r="AH30" s="181"/>
      <c r="AI30" s="194">
        <f>IF(COUNTA(SalCommune[[#This Row],[N°]:[heures annuelles
selon contrat(s)]])=0,"",REVEX!$E$9)</f>
        <v>0</v>
      </c>
      <c r="AJ30" s="72" t="str">
        <f>IF(SalCommune[[#This Row],[Allocations fonctions]]="","",IF(ISNA(VLOOKUP(SalCommune[[#This Row],[Allocations fonctions]],DROPDOWN[Dropdown82],1,FALSE))=TRUE,"&lt;-- Veuillez choisir l'allocation parmis la liste déroulante.",""))</f>
        <v/>
      </c>
    </row>
    <row r="31" spans="1:36" x14ac:dyDescent="0.25">
      <c r="A31" s="72" t="str">
        <f>IF(SalCommune[[#This Row],[Statut]]="","",IF(ISNA(VLOOKUP(SalCommune[[#This Row],[Statut]],'Grille communale'!$B$3:$B$5,1,FALSE))=TRUE,"Veuillez choisir le statut parmis la liste déroulante",""))</f>
        <v/>
      </c>
      <c r="B31" s="725" t="str">
        <f>IF(SalCommune[[#This Row],[Matricule]]="","",MAX($B$7:B30)+1)</f>
        <v/>
      </c>
      <c r="C31" s="8"/>
      <c r="D31" s="8"/>
      <c r="E31" s="20"/>
      <c r="F31" s="8"/>
      <c r="G31" s="8"/>
      <c r="H31" s="9"/>
      <c r="I31" s="9"/>
      <c r="J31" s="9"/>
      <c r="K31" s="10"/>
      <c r="L31" s="10"/>
      <c r="M31" s="9"/>
      <c r="N31" s="9"/>
      <c r="O31" s="9"/>
      <c r="P3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 s="9"/>
      <c r="R31" s="9"/>
      <c r="S31" s="9"/>
      <c r="T31" s="37"/>
      <c r="U31" s="37"/>
      <c r="V31" s="37"/>
      <c r="W31" s="37"/>
      <c r="X31" s="37"/>
      <c r="Y31" s="37"/>
      <c r="Z3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 s="37"/>
      <c r="AB31" s="66" t="str">
        <f>IF(COUNTA(SalCommune[[#This Row],[Nom]:[heures annuelles
selon contrat(s)]])=0,"",SalCommune[[#This Row],[Total global]]-ABS(SalCommune[[#This Row],[Dont non opposable]]))</f>
        <v/>
      </c>
      <c r="AC31" s="8"/>
      <c r="AD31" s="63"/>
      <c r="AE31" s="430"/>
      <c r="AF31" s="430"/>
      <c r="AG31" s="430"/>
      <c r="AH31" s="181"/>
      <c r="AI31" s="194">
        <f>IF(COUNTA(SalCommune[[#This Row],[N°]:[heures annuelles
selon contrat(s)]])=0,"",REVEX!$E$9)</f>
        <v>0</v>
      </c>
      <c r="AJ31" s="72" t="str">
        <f>IF(SalCommune[[#This Row],[Allocations fonctions]]="","",IF(ISNA(VLOOKUP(SalCommune[[#This Row],[Allocations fonctions]],DROPDOWN[Dropdown82],1,FALSE))=TRUE,"&lt;-- Veuillez choisir l'allocation parmis la liste déroulante.",""))</f>
        <v/>
      </c>
    </row>
    <row r="32" spans="1:36" x14ac:dyDescent="0.25">
      <c r="A32" s="72" t="str">
        <f>IF(SalCommune[[#This Row],[Statut]]="","",IF(ISNA(VLOOKUP(SalCommune[[#This Row],[Statut]],'Grille communale'!$B$3:$B$5,1,FALSE))=TRUE,"Veuillez choisir le statut parmis la liste déroulante",""))</f>
        <v/>
      </c>
      <c r="B32" s="725" t="str">
        <f>IF(SalCommune[[#This Row],[Matricule]]="","",MAX($B$7:B31)+1)</f>
        <v/>
      </c>
      <c r="C32" s="8"/>
      <c r="D32" s="8"/>
      <c r="E32" s="20"/>
      <c r="F32" s="8"/>
      <c r="G32" s="8"/>
      <c r="H32" s="9"/>
      <c r="I32" s="9"/>
      <c r="J32" s="9"/>
      <c r="K32" s="10"/>
      <c r="L32" s="10"/>
      <c r="M32" s="9"/>
      <c r="N32" s="9"/>
      <c r="O32" s="9"/>
      <c r="P3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 s="9"/>
      <c r="R32" s="9"/>
      <c r="S32" s="9"/>
      <c r="T32" s="37"/>
      <c r="U32" s="37"/>
      <c r="V32" s="37"/>
      <c r="W32" s="37"/>
      <c r="X32" s="37"/>
      <c r="Y32" s="37"/>
      <c r="Z3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 s="37"/>
      <c r="AB32" s="66" t="str">
        <f>IF(COUNTA(SalCommune[[#This Row],[Nom]:[heures annuelles
selon contrat(s)]])=0,"",SalCommune[[#This Row],[Total global]]-ABS(SalCommune[[#This Row],[Dont non opposable]]))</f>
        <v/>
      </c>
      <c r="AC32" s="8"/>
      <c r="AD32" s="63"/>
      <c r="AE32" s="430"/>
      <c r="AF32" s="430"/>
      <c r="AG32" s="430"/>
      <c r="AH32" s="181"/>
      <c r="AI32" s="194">
        <f>IF(COUNTA(SalCommune[[#This Row],[N°]:[heures annuelles
selon contrat(s)]])=0,"",REVEX!$E$9)</f>
        <v>0</v>
      </c>
      <c r="AJ32" s="72" t="str">
        <f>IF(SalCommune[[#This Row],[Allocations fonctions]]="","",IF(ISNA(VLOOKUP(SalCommune[[#This Row],[Allocations fonctions]],DROPDOWN[Dropdown82],1,FALSE))=TRUE,"&lt;-- Veuillez choisir l'allocation parmis la liste déroulante.",""))</f>
        <v/>
      </c>
    </row>
    <row r="33" spans="1:36" x14ac:dyDescent="0.25">
      <c r="A33" s="72" t="str">
        <f>IF(SalCommune[[#This Row],[Statut]]="","",IF(ISNA(VLOOKUP(SalCommune[[#This Row],[Statut]],'Grille communale'!$B$3:$B$5,1,FALSE))=TRUE,"Veuillez choisir le statut parmis la liste déroulante",""))</f>
        <v/>
      </c>
      <c r="B33" s="725" t="str">
        <f>IF(SalCommune[[#This Row],[Matricule]]="","",MAX($B$7:B32)+1)</f>
        <v/>
      </c>
      <c r="C33" s="8"/>
      <c r="D33" s="8"/>
      <c r="E33" s="20"/>
      <c r="F33" s="8"/>
      <c r="G33" s="8"/>
      <c r="H33" s="9"/>
      <c r="I33" s="9"/>
      <c r="J33" s="9"/>
      <c r="K33" s="10"/>
      <c r="L33" s="10"/>
      <c r="M33" s="9"/>
      <c r="N33" s="9"/>
      <c r="O33" s="9"/>
      <c r="P3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 s="9"/>
      <c r="R33" s="9"/>
      <c r="S33" s="9"/>
      <c r="T33" s="37"/>
      <c r="U33" s="37"/>
      <c r="V33" s="37"/>
      <c r="W33" s="37"/>
      <c r="X33" s="37"/>
      <c r="Y33" s="37"/>
      <c r="Z3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 s="37"/>
      <c r="AB33" s="66" t="str">
        <f>IF(COUNTA(SalCommune[[#This Row],[Nom]:[heures annuelles
selon contrat(s)]])=0,"",SalCommune[[#This Row],[Total global]]-ABS(SalCommune[[#This Row],[Dont non opposable]]))</f>
        <v/>
      </c>
      <c r="AC33" s="8"/>
      <c r="AD33" s="63"/>
      <c r="AE33" s="430"/>
      <c r="AF33" s="430"/>
      <c r="AG33" s="430"/>
      <c r="AH33" s="181"/>
      <c r="AI33" s="194">
        <f>IF(COUNTA(SalCommune[[#This Row],[N°]:[heures annuelles
selon contrat(s)]])=0,"",REVEX!$E$9)</f>
        <v>0</v>
      </c>
      <c r="AJ33" s="72" t="str">
        <f>IF(SalCommune[[#This Row],[Allocations fonctions]]="","",IF(ISNA(VLOOKUP(SalCommune[[#This Row],[Allocations fonctions]],DROPDOWN[Dropdown82],1,FALSE))=TRUE,"&lt;-- Veuillez choisir l'allocation parmis la liste déroulante.",""))</f>
        <v/>
      </c>
    </row>
    <row r="34" spans="1:36" x14ac:dyDescent="0.25">
      <c r="A34" s="72" t="str">
        <f>IF(SalCommune[[#This Row],[Statut]]="","",IF(ISNA(VLOOKUP(SalCommune[[#This Row],[Statut]],'Grille communale'!$B$3:$B$5,1,FALSE))=TRUE,"Veuillez choisir le statut parmis la liste déroulante",""))</f>
        <v/>
      </c>
      <c r="B34" s="725" t="str">
        <f>IF(SalCommune[[#This Row],[Matricule]]="","",MAX($B$7:B33)+1)</f>
        <v/>
      </c>
      <c r="C34" s="8"/>
      <c r="D34" s="8"/>
      <c r="E34" s="20"/>
      <c r="F34" s="8"/>
      <c r="G34" s="8"/>
      <c r="H34" s="9"/>
      <c r="I34" s="9"/>
      <c r="J34" s="9"/>
      <c r="K34" s="10"/>
      <c r="L34" s="10"/>
      <c r="M34" s="9"/>
      <c r="N34" s="9"/>
      <c r="O34" s="9"/>
      <c r="P3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 s="9"/>
      <c r="R34" s="9"/>
      <c r="S34" s="9"/>
      <c r="T34" s="37"/>
      <c r="U34" s="37"/>
      <c r="V34" s="37"/>
      <c r="W34" s="37"/>
      <c r="X34" s="37"/>
      <c r="Y34" s="37"/>
      <c r="Z3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 s="37"/>
      <c r="AB34" s="66" t="str">
        <f>IF(COUNTA(SalCommune[[#This Row],[Nom]:[heures annuelles
selon contrat(s)]])=0,"",SalCommune[[#This Row],[Total global]]-ABS(SalCommune[[#This Row],[Dont non opposable]]))</f>
        <v/>
      </c>
      <c r="AC34" s="8"/>
      <c r="AD34" s="63"/>
      <c r="AE34" s="430"/>
      <c r="AF34" s="430"/>
      <c r="AG34" s="430"/>
      <c r="AH34" s="181"/>
      <c r="AI34" s="194">
        <f>IF(COUNTA(SalCommune[[#This Row],[N°]:[heures annuelles
selon contrat(s)]])=0,"",REVEX!$E$9)</f>
        <v>0</v>
      </c>
      <c r="AJ34" s="72" t="str">
        <f>IF(SalCommune[[#This Row],[Allocations fonctions]]="","",IF(ISNA(VLOOKUP(SalCommune[[#This Row],[Allocations fonctions]],DROPDOWN[Dropdown82],1,FALSE))=TRUE,"&lt;-- Veuillez choisir l'allocation parmis la liste déroulante.",""))</f>
        <v/>
      </c>
    </row>
    <row r="35" spans="1:36" x14ac:dyDescent="0.25">
      <c r="A35" s="72" t="str">
        <f>IF(SalCommune[[#This Row],[Statut]]="","",IF(ISNA(VLOOKUP(SalCommune[[#This Row],[Statut]],'Grille communale'!$B$3:$B$5,1,FALSE))=TRUE,"Veuillez choisir le statut parmis la liste déroulante",""))</f>
        <v/>
      </c>
      <c r="B35" s="725" t="str">
        <f>IF(SalCommune[[#This Row],[Matricule]]="","",MAX($B$7:B34)+1)</f>
        <v/>
      </c>
      <c r="C35" s="8"/>
      <c r="D35" s="8"/>
      <c r="E35" s="20"/>
      <c r="F35" s="8"/>
      <c r="G35" s="8"/>
      <c r="H35" s="9"/>
      <c r="I35" s="9"/>
      <c r="J35" s="9"/>
      <c r="K35" s="10"/>
      <c r="L35" s="10"/>
      <c r="M35" s="9"/>
      <c r="N35" s="9"/>
      <c r="O35" s="9"/>
      <c r="P3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 s="9"/>
      <c r="R35" s="9"/>
      <c r="S35" s="9"/>
      <c r="T35" s="37"/>
      <c r="U35" s="37"/>
      <c r="V35" s="37"/>
      <c r="W35" s="37"/>
      <c r="X35" s="37"/>
      <c r="Y35" s="37"/>
      <c r="Z3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 s="37"/>
      <c r="AB35" s="66" t="str">
        <f>IF(COUNTA(SalCommune[[#This Row],[Nom]:[heures annuelles
selon contrat(s)]])=0,"",SalCommune[[#This Row],[Total global]]-ABS(SalCommune[[#This Row],[Dont non opposable]]))</f>
        <v/>
      </c>
      <c r="AC35" s="8"/>
      <c r="AD35" s="63"/>
      <c r="AE35" s="430"/>
      <c r="AF35" s="430"/>
      <c r="AG35" s="430"/>
      <c r="AH35" s="181"/>
      <c r="AI35" s="194">
        <f>IF(COUNTA(SalCommune[[#This Row],[N°]:[heures annuelles
selon contrat(s)]])=0,"",REVEX!$E$9)</f>
        <v>0</v>
      </c>
      <c r="AJ35" s="72" t="str">
        <f>IF(SalCommune[[#This Row],[Allocations fonctions]]="","",IF(ISNA(VLOOKUP(SalCommune[[#This Row],[Allocations fonctions]],DROPDOWN[Dropdown82],1,FALSE))=TRUE,"&lt;-- Veuillez choisir l'allocation parmis la liste déroulante.",""))</f>
        <v/>
      </c>
    </row>
    <row r="36" spans="1:36" x14ac:dyDescent="0.25">
      <c r="A36" s="72" t="str">
        <f>IF(SalCommune[[#This Row],[Statut]]="","",IF(ISNA(VLOOKUP(SalCommune[[#This Row],[Statut]],'Grille communale'!$B$3:$B$5,1,FALSE))=TRUE,"Veuillez choisir le statut parmis la liste déroulante",""))</f>
        <v/>
      </c>
      <c r="B36" s="725" t="str">
        <f>IF(SalCommune[[#This Row],[Matricule]]="","",MAX($B$7:B35)+1)</f>
        <v/>
      </c>
      <c r="C36" s="8"/>
      <c r="D36" s="8"/>
      <c r="E36" s="20"/>
      <c r="F36" s="8"/>
      <c r="G36" s="8"/>
      <c r="H36" s="9"/>
      <c r="I36" s="9"/>
      <c r="J36" s="9"/>
      <c r="K36" s="10"/>
      <c r="L36" s="10"/>
      <c r="M36" s="9"/>
      <c r="N36" s="9"/>
      <c r="O36" s="9"/>
      <c r="P3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 s="9"/>
      <c r="R36" s="9"/>
      <c r="S36" s="9"/>
      <c r="T36" s="37"/>
      <c r="U36" s="37"/>
      <c r="V36" s="37"/>
      <c r="W36" s="37"/>
      <c r="X36" s="37"/>
      <c r="Y36" s="37"/>
      <c r="Z3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 s="37"/>
      <c r="AB36" s="66" t="str">
        <f>IF(COUNTA(SalCommune[[#This Row],[Nom]:[heures annuelles
selon contrat(s)]])=0,"",SalCommune[[#This Row],[Total global]]-ABS(SalCommune[[#This Row],[Dont non opposable]]))</f>
        <v/>
      </c>
      <c r="AC36" s="8"/>
      <c r="AD36" s="63"/>
      <c r="AE36" s="430"/>
      <c r="AF36" s="430"/>
      <c r="AG36" s="430"/>
      <c r="AH36" s="181"/>
      <c r="AI36" s="194">
        <f>IF(COUNTA(SalCommune[[#This Row],[N°]:[heures annuelles
selon contrat(s)]])=0,"",REVEX!$E$9)</f>
        <v>0</v>
      </c>
      <c r="AJ36" s="72" t="str">
        <f>IF(SalCommune[[#This Row],[Allocations fonctions]]="","",IF(ISNA(VLOOKUP(SalCommune[[#This Row],[Allocations fonctions]],DROPDOWN[Dropdown82],1,FALSE))=TRUE,"&lt;-- Veuillez choisir l'allocation parmis la liste déroulante.",""))</f>
        <v/>
      </c>
    </row>
    <row r="37" spans="1:36" x14ac:dyDescent="0.25">
      <c r="A37" s="72" t="str">
        <f>IF(SalCommune[[#This Row],[Statut]]="","",IF(ISNA(VLOOKUP(SalCommune[[#This Row],[Statut]],'Grille communale'!$B$3:$B$5,1,FALSE))=TRUE,"Veuillez choisir le statut parmis la liste déroulante",""))</f>
        <v/>
      </c>
      <c r="B37" s="725" t="str">
        <f>IF(SalCommune[[#This Row],[Matricule]]="","",MAX($B$7:B36)+1)</f>
        <v/>
      </c>
      <c r="C37" s="8"/>
      <c r="D37" s="8"/>
      <c r="E37" s="20"/>
      <c r="F37" s="8"/>
      <c r="G37" s="8"/>
      <c r="H37" s="9"/>
      <c r="I37" s="9"/>
      <c r="J37" s="9"/>
      <c r="K37" s="10"/>
      <c r="L37" s="10"/>
      <c r="M37" s="9"/>
      <c r="N37" s="9"/>
      <c r="O37" s="9"/>
      <c r="P3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 s="9"/>
      <c r="R37" s="9"/>
      <c r="S37" s="9"/>
      <c r="T37" s="37"/>
      <c r="U37" s="37"/>
      <c r="V37" s="37"/>
      <c r="W37" s="37"/>
      <c r="X37" s="37"/>
      <c r="Y37" s="37"/>
      <c r="Z3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 s="37"/>
      <c r="AB37" s="66" t="str">
        <f>IF(COUNTA(SalCommune[[#This Row],[Nom]:[heures annuelles
selon contrat(s)]])=0,"",SalCommune[[#This Row],[Total global]]-ABS(SalCommune[[#This Row],[Dont non opposable]]))</f>
        <v/>
      </c>
      <c r="AC37" s="8"/>
      <c r="AD37" s="63"/>
      <c r="AE37" s="430"/>
      <c r="AF37" s="430"/>
      <c r="AG37" s="430"/>
      <c r="AH37" s="181"/>
      <c r="AI37" s="194">
        <f>IF(COUNTA(SalCommune[[#This Row],[N°]:[heures annuelles
selon contrat(s)]])=0,"",REVEX!$E$9)</f>
        <v>0</v>
      </c>
      <c r="AJ37" s="72" t="str">
        <f>IF(SalCommune[[#This Row],[Allocations fonctions]]="","",IF(ISNA(VLOOKUP(SalCommune[[#This Row],[Allocations fonctions]],DROPDOWN[Dropdown82],1,FALSE))=TRUE,"&lt;-- Veuillez choisir l'allocation parmis la liste déroulante.",""))</f>
        <v/>
      </c>
    </row>
    <row r="38" spans="1:36" x14ac:dyDescent="0.25">
      <c r="A38" s="72" t="str">
        <f>IF(SalCommune[[#This Row],[Statut]]="","",IF(ISNA(VLOOKUP(SalCommune[[#This Row],[Statut]],'Grille communale'!$B$3:$B$5,1,FALSE))=TRUE,"Veuillez choisir le statut parmis la liste déroulante",""))</f>
        <v/>
      </c>
      <c r="B38" s="725" t="str">
        <f>IF(SalCommune[[#This Row],[Matricule]]="","",MAX($B$7:B37)+1)</f>
        <v/>
      </c>
      <c r="C38" s="8"/>
      <c r="D38" s="8"/>
      <c r="E38" s="20"/>
      <c r="F38" s="8"/>
      <c r="G38" s="8"/>
      <c r="H38" s="9"/>
      <c r="I38" s="9"/>
      <c r="J38" s="9"/>
      <c r="K38" s="10"/>
      <c r="L38" s="10"/>
      <c r="M38" s="9"/>
      <c r="N38" s="9"/>
      <c r="O38" s="9"/>
      <c r="P3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 s="9"/>
      <c r="R38" s="9"/>
      <c r="S38" s="9"/>
      <c r="T38" s="37"/>
      <c r="U38" s="37"/>
      <c r="V38" s="37"/>
      <c r="W38" s="37"/>
      <c r="X38" s="37"/>
      <c r="Y38" s="37"/>
      <c r="Z3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 s="37"/>
      <c r="AB38" s="66" t="str">
        <f>IF(COUNTA(SalCommune[[#This Row],[Nom]:[heures annuelles
selon contrat(s)]])=0,"",SalCommune[[#This Row],[Total global]]-ABS(SalCommune[[#This Row],[Dont non opposable]]))</f>
        <v/>
      </c>
      <c r="AC38" s="8"/>
      <c r="AD38" s="63"/>
      <c r="AE38" s="430"/>
      <c r="AF38" s="430"/>
      <c r="AG38" s="430"/>
      <c r="AH38" s="181"/>
      <c r="AI38" s="194">
        <f>IF(COUNTA(SalCommune[[#This Row],[N°]:[heures annuelles
selon contrat(s)]])=0,"",REVEX!$E$9)</f>
        <v>0</v>
      </c>
      <c r="AJ38" s="72" t="str">
        <f>IF(SalCommune[[#This Row],[Allocations fonctions]]="","",IF(ISNA(VLOOKUP(SalCommune[[#This Row],[Allocations fonctions]],DROPDOWN[Dropdown82],1,FALSE))=TRUE,"&lt;-- Veuillez choisir l'allocation parmis la liste déroulante.",""))</f>
        <v/>
      </c>
    </row>
    <row r="39" spans="1:36" x14ac:dyDescent="0.25">
      <c r="A39" s="72" t="str">
        <f>IF(SalCommune[[#This Row],[Statut]]="","",IF(ISNA(VLOOKUP(SalCommune[[#This Row],[Statut]],'Grille communale'!$B$3:$B$5,1,FALSE))=TRUE,"Veuillez choisir le statut parmis la liste déroulante",""))</f>
        <v/>
      </c>
      <c r="B39" s="725" t="str">
        <f>IF(SalCommune[[#This Row],[Matricule]]="","",MAX($B$7:B38)+1)</f>
        <v/>
      </c>
      <c r="C39" s="8"/>
      <c r="D39" s="8"/>
      <c r="E39" s="20"/>
      <c r="F39" s="8"/>
      <c r="G39" s="8"/>
      <c r="H39" s="9"/>
      <c r="I39" s="9"/>
      <c r="J39" s="9"/>
      <c r="K39" s="10"/>
      <c r="L39" s="10"/>
      <c r="M39" s="9"/>
      <c r="N39" s="9"/>
      <c r="O39" s="9"/>
      <c r="P3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 s="9"/>
      <c r="R39" s="9"/>
      <c r="S39" s="9"/>
      <c r="T39" s="37"/>
      <c r="U39" s="37"/>
      <c r="V39" s="37"/>
      <c r="W39" s="37"/>
      <c r="X39" s="37"/>
      <c r="Y39" s="37"/>
      <c r="Z3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 s="37"/>
      <c r="AB39" s="66" t="str">
        <f>IF(COUNTA(SalCommune[[#This Row],[Nom]:[heures annuelles
selon contrat(s)]])=0,"",SalCommune[[#This Row],[Total global]]-ABS(SalCommune[[#This Row],[Dont non opposable]]))</f>
        <v/>
      </c>
      <c r="AC39" s="8"/>
      <c r="AD39" s="63"/>
      <c r="AE39" s="430"/>
      <c r="AF39" s="430"/>
      <c r="AG39" s="430"/>
      <c r="AH39" s="181"/>
      <c r="AI39" s="194">
        <f>IF(COUNTA(SalCommune[[#This Row],[N°]:[heures annuelles
selon contrat(s)]])=0,"",REVEX!$E$9)</f>
        <v>0</v>
      </c>
      <c r="AJ39" s="72" t="str">
        <f>IF(SalCommune[[#This Row],[Allocations fonctions]]="","",IF(ISNA(VLOOKUP(SalCommune[[#This Row],[Allocations fonctions]],DROPDOWN[Dropdown82],1,FALSE))=TRUE,"&lt;-- Veuillez choisir l'allocation parmis la liste déroulante.",""))</f>
        <v/>
      </c>
    </row>
    <row r="40" spans="1:36" x14ac:dyDescent="0.25">
      <c r="A40" s="72" t="str">
        <f>IF(SalCommune[[#This Row],[Statut]]="","",IF(ISNA(VLOOKUP(SalCommune[[#This Row],[Statut]],'Grille communale'!$B$3:$B$5,1,FALSE))=TRUE,"Veuillez choisir le statut parmis la liste déroulante",""))</f>
        <v/>
      </c>
      <c r="B40" s="725" t="str">
        <f>IF(SalCommune[[#This Row],[Matricule]]="","",MAX($B$7:B39)+1)</f>
        <v/>
      </c>
      <c r="C40" s="8"/>
      <c r="D40" s="8"/>
      <c r="E40" s="20"/>
      <c r="F40" s="8"/>
      <c r="G40" s="8"/>
      <c r="H40" s="9"/>
      <c r="I40" s="9"/>
      <c r="J40" s="9"/>
      <c r="K40" s="10"/>
      <c r="L40" s="10"/>
      <c r="M40" s="9"/>
      <c r="N40" s="9"/>
      <c r="O40" s="9"/>
      <c r="P4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 s="9"/>
      <c r="R40" s="9"/>
      <c r="S40" s="9"/>
      <c r="T40" s="37"/>
      <c r="U40" s="37"/>
      <c r="V40" s="37"/>
      <c r="W40" s="37"/>
      <c r="X40" s="37"/>
      <c r="Y40" s="37"/>
      <c r="Z4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 s="37"/>
      <c r="AB40" s="66" t="str">
        <f>IF(COUNTA(SalCommune[[#This Row],[Nom]:[heures annuelles
selon contrat(s)]])=0,"",SalCommune[[#This Row],[Total global]]-ABS(SalCommune[[#This Row],[Dont non opposable]]))</f>
        <v/>
      </c>
      <c r="AC40" s="8"/>
      <c r="AD40" s="63"/>
      <c r="AE40" s="430"/>
      <c r="AF40" s="430"/>
      <c r="AG40" s="430"/>
      <c r="AH40" s="181"/>
      <c r="AI40" s="194">
        <f>IF(COUNTA(SalCommune[[#This Row],[N°]:[heures annuelles
selon contrat(s)]])=0,"",REVEX!$E$9)</f>
        <v>0</v>
      </c>
      <c r="AJ40" s="72" t="str">
        <f>IF(SalCommune[[#This Row],[Allocations fonctions]]="","",IF(ISNA(VLOOKUP(SalCommune[[#This Row],[Allocations fonctions]],DROPDOWN[Dropdown82],1,FALSE))=TRUE,"&lt;-- Veuillez choisir l'allocation parmis la liste déroulante.",""))</f>
        <v/>
      </c>
    </row>
    <row r="41" spans="1:36" x14ac:dyDescent="0.25">
      <c r="A41" s="72" t="str">
        <f>IF(SalCommune[[#This Row],[Statut]]="","",IF(ISNA(VLOOKUP(SalCommune[[#This Row],[Statut]],'Grille communale'!$B$3:$B$5,1,FALSE))=TRUE,"Veuillez choisir le statut parmis la liste déroulante",""))</f>
        <v/>
      </c>
      <c r="B41" s="725" t="str">
        <f>IF(SalCommune[[#This Row],[Matricule]]="","",MAX($B$7:B40)+1)</f>
        <v/>
      </c>
      <c r="C41" s="8"/>
      <c r="D41" s="8"/>
      <c r="E41" s="20"/>
      <c r="F41" s="8"/>
      <c r="G41" s="8"/>
      <c r="H41" s="9"/>
      <c r="I41" s="9"/>
      <c r="J41" s="9"/>
      <c r="K41" s="10"/>
      <c r="L41" s="10"/>
      <c r="M41" s="9"/>
      <c r="N41" s="9"/>
      <c r="O41" s="9"/>
      <c r="P4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 s="9"/>
      <c r="R41" s="9"/>
      <c r="S41" s="9"/>
      <c r="T41" s="37"/>
      <c r="U41" s="37"/>
      <c r="V41" s="37"/>
      <c r="W41" s="37"/>
      <c r="X41" s="37"/>
      <c r="Y41" s="37"/>
      <c r="Z4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 s="37"/>
      <c r="AB41" s="66" t="str">
        <f>IF(COUNTA(SalCommune[[#This Row],[Nom]:[heures annuelles
selon contrat(s)]])=0,"",SalCommune[[#This Row],[Total global]]-ABS(SalCommune[[#This Row],[Dont non opposable]]))</f>
        <v/>
      </c>
      <c r="AC41" s="8"/>
      <c r="AD41" s="63"/>
      <c r="AE41" s="430"/>
      <c r="AF41" s="430"/>
      <c r="AG41" s="430"/>
      <c r="AH41" s="181"/>
      <c r="AI41" s="194">
        <f>IF(COUNTA(SalCommune[[#This Row],[N°]:[heures annuelles
selon contrat(s)]])=0,"",REVEX!$E$9)</f>
        <v>0</v>
      </c>
      <c r="AJ41" s="72" t="str">
        <f>IF(SalCommune[[#This Row],[Allocations fonctions]]="","",IF(ISNA(VLOOKUP(SalCommune[[#This Row],[Allocations fonctions]],DROPDOWN[Dropdown82],1,FALSE))=TRUE,"&lt;-- Veuillez choisir l'allocation parmis la liste déroulante.",""))</f>
        <v/>
      </c>
    </row>
    <row r="42" spans="1:36" x14ac:dyDescent="0.25">
      <c r="A42" s="72" t="str">
        <f>IF(SalCommune[[#This Row],[Statut]]="","",IF(ISNA(VLOOKUP(SalCommune[[#This Row],[Statut]],'Grille communale'!$B$3:$B$5,1,FALSE))=TRUE,"Veuillez choisir le statut parmis la liste déroulante",""))</f>
        <v/>
      </c>
      <c r="B42" s="725" t="str">
        <f>IF(SalCommune[[#This Row],[Matricule]]="","",MAX($B$7:B41)+1)</f>
        <v/>
      </c>
      <c r="C42" s="8"/>
      <c r="D42" s="8"/>
      <c r="E42" s="20"/>
      <c r="F42" s="8"/>
      <c r="G42" s="8"/>
      <c r="H42" s="9"/>
      <c r="I42" s="9"/>
      <c r="J42" s="9"/>
      <c r="K42" s="10"/>
      <c r="L42" s="10"/>
      <c r="M42" s="9"/>
      <c r="N42" s="9"/>
      <c r="O42" s="9"/>
      <c r="P4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 s="9"/>
      <c r="R42" s="9"/>
      <c r="S42" s="9"/>
      <c r="T42" s="37"/>
      <c r="U42" s="37"/>
      <c r="V42" s="37"/>
      <c r="W42" s="37"/>
      <c r="X42" s="37"/>
      <c r="Y42" s="37"/>
      <c r="Z4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 s="37"/>
      <c r="AB42" s="66" t="str">
        <f>IF(COUNTA(SalCommune[[#This Row],[Nom]:[heures annuelles
selon contrat(s)]])=0,"",SalCommune[[#This Row],[Total global]]-ABS(SalCommune[[#This Row],[Dont non opposable]]))</f>
        <v/>
      </c>
      <c r="AC42" s="8"/>
      <c r="AD42" s="63"/>
      <c r="AE42" s="430"/>
      <c r="AF42" s="430"/>
      <c r="AG42" s="430"/>
      <c r="AH42" s="181"/>
      <c r="AI42" s="194">
        <f>IF(COUNTA(SalCommune[[#This Row],[N°]:[heures annuelles
selon contrat(s)]])=0,"",REVEX!$E$9)</f>
        <v>0</v>
      </c>
      <c r="AJ42" s="72" t="str">
        <f>IF(SalCommune[[#This Row],[Allocations fonctions]]="","",IF(ISNA(VLOOKUP(SalCommune[[#This Row],[Allocations fonctions]],DROPDOWN[Dropdown82],1,FALSE))=TRUE,"&lt;-- Veuillez choisir l'allocation parmis la liste déroulante.",""))</f>
        <v/>
      </c>
    </row>
    <row r="43" spans="1:36" x14ac:dyDescent="0.25">
      <c r="A43" s="72" t="str">
        <f>IF(SalCommune[[#This Row],[Statut]]="","",IF(ISNA(VLOOKUP(SalCommune[[#This Row],[Statut]],'Grille communale'!$B$3:$B$5,1,FALSE))=TRUE,"Veuillez choisir le statut parmis la liste déroulante",""))</f>
        <v/>
      </c>
      <c r="B43" s="725" t="str">
        <f>IF(SalCommune[[#This Row],[Matricule]]="","",MAX($B$7:B42)+1)</f>
        <v/>
      </c>
      <c r="C43" s="8"/>
      <c r="D43" s="8"/>
      <c r="E43" s="20"/>
      <c r="F43" s="8"/>
      <c r="G43" s="8"/>
      <c r="H43" s="9"/>
      <c r="I43" s="9"/>
      <c r="J43" s="9"/>
      <c r="K43" s="10"/>
      <c r="L43" s="10"/>
      <c r="M43" s="9"/>
      <c r="N43" s="9"/>
      <c r="O43" s="9"/>
      <c r="P4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 s="9"/>
      <c r="R43" s="9"/>
      <c r="S43" s="9"/>
      <c r="T43" s="37"/>
      <c r="U43" s="37"/>
      <c r="V43" s="37"/>
      <c r="W43" s="37"/>
      <c r="X43" s="37"/>
      <c r="Y43" s="37"/>
      <c r="Z4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 s="37"/>
      <c r="AB43" s="66" t="str">
        <f>IF(COUNTA(SalCommune[[#This Row],[Nom]:[heures annuelles
selon contrat(s)]])=0,"",SalCommune[[#This Row],[Total global]]-ABS(SalCommune[[#This Row],[Dont non opposable]]))</f>
        <v/>
      </c>
      <c r="AC43" s="8"/>
      <c r="AD43" s="63"/>
      <c r="AE43" s="430"/>
      <c r="AF43" s="430"/>
      <c r="AG43" s="430"/>
      <c r="AH43" s="181"/>
      <c r="AI43" s="194">
        <f>IF(COUNTA(SalCommune[[#This Row],[N°]:[heures annuelles
selon contrat(s)]])=0,"",REVEX!$E$9)</f>
        <v>0</v>
      </c>
      <c r="AJ43" s="72" t="str">
        <f>IF(SalCommune[[#This Row],[Allocations fonctions]]="","",IF(ISNA(VLOOKUP(SalCommune[[#This Row],[Allocations fonctions]],DROPDOWN[Dropdown82],1,FALSE))=TRUE,"&lt;-- Veuillez choisir l'allocation parmis la liste déroulante.",""))</f>
        <v/>
      </c>
    </row>
    <row r="44" spans="1:36" x14ac:dyDescent="0.25">
      <c r="A44" s="72" t="str">
        <f>IF(SalCommune[[#This Row],[Statut]]="","",IF(ISNA(VLOOKUP(SalCommune[[#This Row],[Statut]],'Grille communale'!$B$3:$B$5,1,FALSE))=TRUE,"Veuillez choisir le statut parmis la liste déroulante",""))</f>
        <v/>
      </c>
      <c r="B44" s="725" t="str">
        <f>IF(SalCommune[[#This Row],[Matricule]]="","",MAX($B$7:B43)+1)</f>
        <v/>
      </c>
      <c r="C44" s="8"/>
      <c r="D44" s="8"/>
      <c r="E44" s="20"/>
      <c r="F44" s="8"/>
      <c r="G44" s="8"/>
      <c r="H44" s="9"/>
      <c r="I44" s="9"/>
      <c r="J44" s="9"/>
      <c r="K44" s="10"/>
      <c r="L44" s="10"/>
      <c r="M44" s="9"/>
      <c r="N44" s="9"/>
      <c r="O44" s="9"/>
      <c r="P4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 s="9"/>
      <c r="R44" s="9"/>
      <c r="S44" s="9"/>
      <c r="T44" s="37"/>
      <c r="U44" s="37"/>
      <c r="V44" s="37"/>
      <c r="W44" s="37"/>
      <c r="X44" s="37"/>
      <c r="Y44" s="37"/>
      <c r="Z4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 s="37"/>
      <c r="AB44" s="66" t="str">
        <f>IF(COUNTA(SalCommune[[#This Row],[Nom]:[heures annuelles
selon contrat(s)]])=0,"",SalCommune[[#This Row],[Total global]]-ABS(SalCommune[[#This Row],[Dont non opposable]]))</f>
        <v/>
      </c>
      <c r="AC44" s="8"/>
      <c r="AD44" s="63"/>
      <c r="AE44" s="430"/>
      <c r="AF44" s="430"/>
      <c r="AG44" s="430"/>
      <c r="AH44" s="181"/>
      <c r="AI44" s="194">
        <f>IF(COUNTA(SalCommune[[#This Row],[N°]:[heures annuelles
selon contrat(s)]])=0,"",REVEX!$E$9)</f>
        <v>0</v>
      </c>
      <c r="AJ44" s="72" t="str">
        <f>IF(SalCommune[[#This Row],[Allocations fonctions]]="","",IF(ISNA(VLOOKUP(SalCommune[[#This Row],[Allocations fonctions]],DROPDOWN[Dropdown82],1,FALSE))=TRUE,"&lt;-- Veuillez choisir l'allocation parmis la liste déroulante.",""))</f>
        <v/>
      </c>
    </row>
    <row r="45" spans="1:36" x14ac:dyDescent="0.25">
      <c r="A45" s="72" t="str">
        <f>IF(SalCommune[[#This Row],[Statut]]="","",IF(ISNA(VLOOKUP(SalCommune[[#This Row],[Statut]],'Grille communale'!$B$3:$B$5,1,FALSE))=TRUE,"Veuillez choisir le statut parmis la liste déroulante",""))</f>
        <v/>
      </c>
      <c r="B45" s="725" t="str">
        <f>IF(SalCommune[[#This Row],[Matricule]]="","",MAX($B$7:B44)+1)</f>
        <v/>
      </c>
      <c r="C45" s="8"/>
      <c r="D45" s="8"/>
      <c r="E45" s="20"/>
      <c r="F45" s="8"/>
      <c r="G45" s="8"/>
      <c r="H45" s="9"/>
      <c r="I45" s="9"/>
      <c r="J45" s="9"/>
      <c r="K45" s="10"/>
      <c r="L45" s="10"/>
      <c r="M45" s="9"/>
      <c r="N45" s="9"/>
      <c r="O45" s="9"/>
      <c r="P4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 s="9"/>
      <c r="R45" s="9"/>
      <c r="S45" s="9"/>
      <c r="T45" s="37"/>
      <c r="U45" s="37"/>
      <c r="V45" s="37"/>
      <c r="W45" s="37"/>
      <c r="X45" s="37"/>
      <c r="Y45" s="37"/>
      <c r="Z4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 s="37"/>
      <c r="AB45" s="66" t="str">
        <f>IF(COUNTA(SalCommune[[#This Row],[Nom]:[heures annuelles
selon contrat(s)]])=0,"",SalCommune[[#This Row],[Total global]]-ABS(SalCommune[[#This Row],[Dont non opposable]]))</f>
        <v/>
      </c>
      <c r="AC45" s="8"/>
      <c r="AD45" s="63"/>
      <c r="AE45" s="430"/>
      <c r="AF45" s="430"/>
      <c r="AG45" s="430"/>
      <c r="AH45" s="181"/>
      <c r="AI45" s="194">
        <f>IF(COUNTA(SalCommune[[#This Row],[N°]:[heures annuelles
selon contrat(s)]])=0,"",REVEX!$E$9)</f>
        <v>0</v>
      </c>
      <c r="AJ45" s="72" t="str">
        <f>IF(SalCommune[[#This Row],[Allocations fonctions]]="","",IF(ISNA(VLOOKUP(SalCommune[[#This Row],[Allocations fonctions]],DROPDOWN[Dropdown82],1,FALSE))=TRUE,"&lt;-- Veuillez choisir l'allocation parmis la liste déroulante.",""))</f>
        <v/>
      </c>
    </row>
    <row r="46" spans="1:36" x14ac:dyDescent="0.25">
      <c r="A46" s="72" t="str">
        <f>IF(SalCommune[[#This Row],[Statut]]="","",IF(ISNA(VLOOKUP(SalCommune[[#This Row],[Statut]],'Grille communale'!$B$3:$B$5,1,FALSE))=TRUE,"Veuillez choisir le statut parmis la liste déroulante",""))</f>
        <v/>
      </c>
      <c r="B46" s="725" t="str">
        <f>IF(SalCommune[[#This Row],[Matricule]]="","",MAX($B$7:B45)+1)</f>
        <v/>
      </c>
      <c r="C46" s="8"/>
      <c r="D46" s="8"/>
      <c r="E46" s="20"/>
      <c r="F46" s="8"/>
      <c r="G46" s="8"/>
      <c r="H46" s="9"/>
      <c r="I46" s="9"/>
      <c r="J46" s="9"/>
      <c r="K46" s="10"/>
      <c r="L46" s="10"/>
      <c r="M46" s="9"/>
      <c r="N46" s="9"/>
      <c r="O46" s="9"/>
      <c r="P4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 s="9"/>
      <c r="R46" s="9"/>
      <c r="S46" s="9"/>
      <c r="T46" s="37"/>
      <c r="U46" s="37"/>
      <c r="V46" s="37"/>
      <c r="W46" s="37"/>
      <c r="X46" s="37"/>
      <c r="Y46" s="37"/>
      <c r="Z4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 s="37"/>
      <c r="AB46" s="66" t="str">
        <f>IF(COUNTA(SalCommune[[#This Row],[Nom]:[heures annuelles
selon contrat(s)]])=0,"",SalCommune[[#This Row],[Total global]]-ABS(SalCommune[[#This Row],[Dont non opposable]]))</f>
        <v/>
      </c>
      <c r="AC46" s="8"/>
      <c r="AD46" s="63"/>
      <c r="AE46" s="430"/>
      <c r="AF46" s="430"/>
      <c r="AG46" s="430"/>
      <c r="AH46" s="181"/>
      <c r="AI46" s="194">
        <f>IF(COUNTA(SalCommune[[#This Row],[N°]:[heures annuelles
selon contrat(s)]])=0,"",REVEX!$E$9)</f>
        <v>0</v>
      </c>
      <c r="AJ46" s="72" t="str">
        <f>IF(SalCommune[[#This Row],[Allocations fonctions]]="","",IF(ISNA(VLOOKUP(SalCommune[[#This Row],[Allocations fonctions]],DROPDOWN[Dropdown82],1,FALSE))=TRUE,"&lt;-- Veuillez choisir l'allocation parmis la liste déroulante.",""))</f>
        <v/>
      </c>
    </row>
    <row r="47" spans="1:36" x14ac:dyDescent="0.25">
      <c r="A47" s="72" t="str">
        <f>IF(SalCommune[[#This Row],[Statut]]="","",IF(ISNA(VLOOKUP(SalCommune[[#This Row],[Statut]],'Grille communale'!$B$3:$B$5,1,FALSE))=TRUE,"Veuillez choisir le statut parmis la liste déroulante",""))</f>
        <v/>
      </c>
      <c r="B47" s="725" t="str">
        <f>IF(SalCommune[[#This Row],[Matricule]]="","",MAX($B$7:B46)+1)</f>
        <v/>
      </c>
      <c r="C47" s="8"/>
      <c r="D47" s="8"/>
      <c r="E47" s="20"/>
      <c r="F47" s="8"/>
      <c r="G47" s="8"/>
      <c r="H47" s="9"/>
      <c r="I47" s="9"/>
      <c r="J47" s="9"/>
      <c r="K47" s="10"/>
      <c r="L47" s="10"/>
      <c r="M47" s="9"/>
      <c r="N47" s="9"/>
      <c r="O47" s="9"/>
      <c r="P4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 s="9"/>
      <c r="R47" s="9"/>
      <c r="S47" s="9"/>
      <c r="T47" s="37"/>
      <c r="U47" s="37"/>
      <c r="V47" s="37"/>
      <c r="W47" s="37"/>
      <c r="X47" s="37"/>
      <c r="Y47" s="37"/>
      <c r="Z4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 s="37"/>
      <c r="AB47" s="66" t="str">
        <f>IF(COUNTA(SalCommune[[#This Row],[Nom]:[heures annuelles
selon contrat(s)]])=0,"",SalCommune[[#This Row],[Total global]]-ABS(SalCommune[[#This Row],[Dont non opposable]]))</f>
        <v/>
      </c>
      <c r="AC47" s="8"/>
      <c r="AD47" s="63"/>
      <c r="AE47" s="430"/>
      <c r="AF47" s="430"/>
      <c r="AG47" s="430"/>
      <c r="AH47" s="181"/>
      <c r="AI47" s="194">
        <f>IF(COUNTA(SalCommune[[#This Row],[N°]:[heures annuelles
selon contrat(s)]])=0,"",REVEX!$E$9)</f>
        <v>0</v>
      </c>
      <c r="AJ47" s="72" t="str">
        <f>IF(SalCommune[[#This Row],[Allocations fonctions]]="","",IF(ISNA(VLOOKUP(SalCommune[[#This Row],[Allocations fonctions]],DROPDOWN[Dropdown82],1,FALSE))=TRUE,"&lt;-- Veuillez choisir l'allocation parmis la liste déroulante.",""))</f>
        <v/>
      </c>
    </row>
    <row r="48" spans="1:36" x14ac:dyDescent="0.25">
      <c r="A48" s="72" t="str">
        <f>IF(SalCommune[[#This Row],[Statut]]="","",IF(ISNA(VLOOKUP(SalCommune[[#This Row],[Statut]],'Grille communale'!$B$3:$B$5,1,FALSE))=TRUE,"Veuillez choisir le statut parmis la liste déroulante",""))</f>
        <v/>
      </c>
      <c r="B48" s="725" t="str">
        <f>IF(SalCommune[[#This Row],[Matricule]]="","",MAX($B$7:B47)+1)</f>
        <v/>
      </c>
      <c r="C48" s="8"/>
      <c r="D48" s="8"/>
      <c r="E48" s="20"/>
      <c r="F48" s="8"/>
      <c r="G48" s="8"/>
      <c r="H48" s="9"/>
      <c r="I48" s="9"/>
      <c r="J48" s="9"/>
      <c r="K48" s="10"/>
      <c r="L48" s="10"/>
      <c r="M48" s="9"/>
      <c r="N48" s="9"/>
      <c r="O48" s="9"/>
      <c r="P4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 s="9"/>
      <c r="R48" s="9"/>
      <c r="S48" s="9"/>
      <c r="T48" s="37"/>
      <c r="U48" s="37"/>
      <c r="V48" s="37"/>
      <c r="W48" s="37"/>
      <c r="X48" s="37"/>
      <c r="Y48" s="37"/>
      <c r="Z4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 s="37"/>
      <c r="AB48" s="66" t="str">
        <f>IF(COUNTA(SalCommune[[#This Row],[Nom]:[heures annuelles
selon contrat(s)]])=0,"",SalCommune[[#This Row],[Total global]]-ABS(SalCommune[[#This Row],[Dont non opposable]]))</f>
        <v/>
      </c>
      <c r="AC48" s="8"/>
      <c r="AD48" s="63"/>
      <c r="AE48" s="430"/>
      <c r="AF48" s="430"/>
      <c r="AG48" s="430"/>
      <c r="AH48" s="181"/>
      <c r="AI48" s="194">
        <f>IF(COUNTA(SalCommune[[#This Row],[N°]:[heures annuelles
selon contrat(s)]])=0,"",REVEX!$E$9)</f>
        <v>0</v>
      </c>
      <c r="AJ48" s="72" t="str">
        <f>IF(SalCommune[[#This Row],[Allocations fonctions]]="","",IF(ISNA(VLOOKUP(SalCommune[[#This Row],[Allocations fonctions]],DROPDOWN[Dropdown82],1,FALSE))=TRUE,"&lt;-- Veuillez choisir l'allocation parmis la liste déroulante.",""))</f>
        <v/>
      </c>
    </row>
    <row r="49" spans="1:36" x14ac:dyDescent="0.25">
      <c r="A49" s="72" t="str">
        <f>IF(SalCommune[[#This Row],[Statut]]="","",IF(ISNA(VLOOKUP(SalCommune[[#This Row],[Statut]],'Grille communale'!$B$3:$B$5,1,FALSE))=TRUE,"Veuillez choisir le statut parmis la liste déroulante",""))</f>
        <v/>
      </c>
      <c r="B49" s="725" t="str">
        <f>IF(SalCommune[[#This Row],[Matricule]]="","",MAX($B$7:B48)+1)</f>
        <v/>
      </c>
      <c r="C49" s="8"/>
      <c r="D49" s="8"/>
      <c r="E49" s="20"/>
      <c r="F49" s="8"/>
      <c r="G49" s="8"/>
      <c r="H49" s="9"/>
      <c r="I49" s="9"/>
      <c r="J49" s="9"/>
      <c r="K49" s="10"/>
      <c r="L49" s="10"/>
      <c r="M49" s="9"/>
      <c r="N49" s="9"/>
      <c r="O49" s="9"/>
      <c r="P4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 s="9"/>
      <c r="R49" s="9"/>
      <c r="S49" s="9"/>
      <c r="T49" s="37"/>
      <c r="U49" s="37"/>
      <c r="V49" s="37"/>
      <c r="W49" s="37"/>
      <c r="X49" s="37"/>
      <c r="Y49" s="37"/>
      <c r="Z4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 s="37"/>
      <c r="AB49" s="66" t="str">
        <f>IF(COUNTA(SalCommune[[#This Row],[Nom]:[heures annuelles
selon contrat(s)]])=0,"",SalCommune[[#This Row],[Total global]]-ABS(SalCommune[[#This Row],[Dont non opposable]]))</f>
        <v/>
      </c>
      <c r="AC49" s="8"/>
      <c r="AD49" s="63"/>
      <c r="AE49" s="430"/>
      <c r="AF49" s="430"/>
      <c r="AG49" s="430"/>
      <c r="AH49" s="181"/>
      <c r="AI49" s="194">
        <f>IF(COUNTA(SalCommune[[#This Row],[N°]:[heures annuelles
selon contrat(s)]])=0,"",REVEX!$E$9)</f>
        <v>0</v>
      </c>
      <c r="AJ49" s="72" t="str">
        <f>IF(SalCommune[[#This Row],[Allocations fonctions]]="","",IF(ISNA(VLOOKUP(SalCommune[[#This Row],[Allocations fonctions]],DROPDOWN[Dropdown82],1,FALSE))=TRUE,"&lt;-- Veuillez choisir l'allocation parmis la liste déroulante.",""))</f>
        <v/>
      </c>
    </row>
    <row r="50" spans="1:36" x14ac:dyDescent="0.25">
      <c r="A50" s="72" t="str">
        <f>IF(SalCommune[[#This Row],[Statut]]="","",IF(ISNA(VLOOKUP(SalCommune[[#This Row],[Statut]],'Grille communale'!$B$3:$B$5,1,FALSE))=TRUE,"Veuillez choisir le statut parmis la liste déroulante",""))</f>
        <v/>
      </c>
      <c r="B50" s="725" t="str">
        <f>IF(SalCommune[[#This Row],[Matricule]]="","",MAX($B$7:B49)+1)</f>
        <v/>
      </c>
      <c r="C50" s="8"/>
      <c r="D50" s="8"/>
      <c r="E50" s="20"/>
      <c r="F50" s="8"/>
      <c r="G50" s="8"/>
      <c r="H50" s="9"/>
      <c r="I50" s="9"/>
      <c r="J50" s="9"/>
      <c r="K50" s="10"/>
      <c r="L50" s="10"/>
      <c r="M50" s="9"/>
      <c r="N50" s="9"/>
      <c r="O50" s="9"/>
      <c r="P5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 s="9"/>
      <c r="R50" s="9"/>
      <c r="S50" s="9"/>
      <c r="T50" s="37"/>
      <c r="U50" s="37"/>
      <c r="V50" s="37"/>
      <c r="W50" s="37"/>
      <c r="X50" s="37"/>
      <c r="Y50" s="37"/>
      <c r="Z5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 s="37"/>
      <c r="AB50" s="66" t="str">
        <f>IF(COUNTA(SalCommune[[#This Row],[Nom]:[heures annuelles
selon contrat(s)]])=0,"",SalCommune[[#This Row],[Total global]]-ABS(SalCommune[[#This Row],[Dont non opposable]]))</f>
        <v/>
      </c>
      <c r="AC50" s="8"/>
      <c r="AD50" s="63"/>
      <c r="AE50" s="430"/>
      <c r="AF50" s="430"/>
      <c r="AG50" s="430"/>
      <c r="AH50" s="181"/>
      <c r="AI50" s="194">
        <f>IF(COUNTA(SalCommune[[#This Row],[N°]:[heures annuelles
selon contrat(s)]])=0,"",REVEX!$E$9)</f>
        <v>0</v>
      </c>
      <c r="AJ50" s="72" t="str">
        <f>IF(SalCommune[[#This Row],[Allocations fonctions]]="","",IF(ISNA(VLOOKUP(SalCommune[[#This Row],[Allocations fonctions]],DROPDOWN[Dropdown82],1,FALSE))=TRUE,"&lt;-- Veuillez choisir l'allocation parmis la liste déroulante.",""))</f>
        <v/>
      </c>
    </row>
    <row r="51" spans="1:36" x14ac:dyDescent="0.25">
      <c r="A51" s="72" t="str">
        <f>IF(SalCommune[[#This Row],[Statut]]="","",IF(ISNA(VLOOKUP(SalCommune[[#This Row],[Statut]],'Grille communale'!$B$3:$B$5,1,FALSE))=TRUE,"Veuillez choisir le statut parmis la liste déroulante",""))</f>
        <v/>
      </c>
      <c r="B51" s="725" t="str">
        <f>IF(SalCommune[[#This Row],[Matricule]]="","",MAX($B$7:B50)+1)</f>
        <v/>
      </c>
      <c r="C51" s="8"/>
      <c r="D51" s="8"/>
      <c r="E51" s="20"/>
      <c r="F51" s="8"/>
      <c r="G51" s="8"/>
      <c r="H51" s="9"/>
      <c r="I51" s="9"/>
      <c r="J51" s="9"/>
      <c r="K51" s="10"/>
      <c r="L51" s="10"/>
      <c r="M51" s="9"/>
      <c r="N51" s="9"/>
      <c r="O51" s="9"/>
      <c r="P5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 s="9"/>
      <c r="R51" s="9"/>
      <c r="S51" s="9"/>
      <c r="T51" s="37"/>
      <c r="U51" s="37"/>
      <c r="V51" s="37"/>
      <c r="W51" s="37"/>
      <c r="X51" s="37"/>
      <c r="Y51" s="37"/>
      <c r="Z5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 s="37"/>
      <c r="AB51" s="66" t="str">
        <f>IF(COUNTA(SalCommune[[#This Row],[Nom]:[heures annuelles
selon contrat(s)]])=0,"",SalCommune[[#This Row],[Total global]]-ABS(SalCommune[[#This Row],[Dont non opposable]]))</f>
        <v/>
      </c>
      <c r="AC51" s="8"/>
      <c r="AD51" s="63"/>
      <c r="AE51" s="430"/>
      <c r="AF51" s="430"/>
      <c r="AG51" s="430"/>
      <c r="AH51" s="181"/>
      <c r="AI51" s="194">
        <f>IF(COUNTA(SalCommune[[#This Row],[N°]:[heures annuelles
selon contrat(s)]])=0,"",REVEX!$E$9)</f>
        <v>0</v>
      </c>
      <c r="AJ51" s="72" t="str">
        <f>IF(SalCommune[[#This Row],[Allocations fonctions]]="","",IF(ISNA(VLOOKUP(SalCommune[[#This Row],[Allocations fonctions]],DROPDOWN[Dropdown82],1,FALSE))=TRUE,"&lt;-- Veuillez choisir l'allocation parmis la liste déroulante.",""))</f>
        <v/>
      </c>
    </row>
    <row r="52" spans="1:36" x14ac:dyDescent="0.25">
      <c r="A52" s="72" t="str">
        <f>IF(SalCommune[[#This Row],[Statut]]="","",IF(ISNA(VLOOKUP(SalCommune[[#This Row],[Statut]],'Grille communale'!$B$3:$B$5,1,FALSE))=TRUE,"Veuillez choisir le statut parmis la liste déroulante",""))</f>
        <v/>
      </c>
      <c r="B52" s="725" t="str">
        <f>IF(SalCommune[[#This Row],[Matricule]]="","",MAX($B$7:B51)+1)</f>
        <v/>
      </c>
      <c r="C52" s="8"/>
      <c r="D52" s="8"/>
      <c r="E52" s="20"/>
      <c r="F52" s="8"/>
      <c r="G52" s="8"/>
      <c r="H52" s="9"/>
      <c r="I52" s="9"/>
      <c r="J52" s="9"/>
      <c r="K52" s="10"/>
      <c r="L52" s="10"/>
      <c r="M52" s="9"/>
      <c r="N52" s="9"/>
      <c r="O52" s="9"/>
      <c r="P5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 s="9"/>
      <c r="R52" s="9"/>
      <c r="S52" s="9"/>
      <c r="T52" s="37"/>
      <c r="U52" s="37"/>
      <c r="V52" s="37"/>
      <c r="W52" s="37"/>
      <c r="X52" s="37"/>
      <c r="Y52" s="37"/>
      <c r="Z5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 s="37"/>
      <c r="AB52" s="66" t="str">
        <f>IF(COUNTA(SalCommune[[#This Row],[Nom]:[heures annuelles
selon contrat(s)]])=0,"",SalCommune[[#This Row],[Total global]]-ABS(SalCommune[[#This Row],[Dont non opposable]]))</f>
        <v/>
      </c>
      <c r="AC52" s="8"/>
      <c r="AD52" s="63"/>
      <c r="AE52" s="430"/>
      <c r="AF52" s="430"/>
      <c r="AG52" s="430"/>
      <c r="AH52" s="181"/>
      <c r="AI52" s="194">
        <f>IF(COUNTA(SalCommune[[#This Row],[N°]:[heures annuelles
selon contrat(s)]])=0,"",REVEX!$E$9)</f>
        <v>0</v>
      </c>
      <c r="AJ52" s="72" t="str">
        <f>IF(SalCommune[[#This Row],[Allocations fonctions]]="","",IF(ISNA(VLOOKUP(SalCommune[[#This Row],[Allocations fonctions]],DROPDOWN[Dropdown82],1,FALSE))=TRUE,"&lt;-- Veuillez choisir l'allocation parmis la liste déroulante.",""))</f>
        <v/>
      </c>
    </row>
    <row r="53" spans="1:36" x14ac:dyDescent="0.25">
      <c r="A53" s="72" t="str">
        <f>IF(SalCommune[[#This Row],[Statut]]="","",IF(ISNA(VLOOKUP(SalCommune[[#This Row],[Statut]],'Grille communale'!$B$3:$B$5,1,FALSE))=TRUE,"Veuillez choisir le statut parmis la liste déroulante",""))</f>
        <v/>
      </c>
      <c r="B53" s="725" t="str">
        <f>IF(SalCommune[[#This Row],[Matricule]]="","",MAX($B$7:B52)+1)</f>
        <v/>
      </c>
      <c r="C53" s="8"/>
      <c r="D53" s="8"/>
      <c r="E53" s="20"/>
      <c r="F53" s="8"/>
      <c r="G53" s="8"/>
      <c r="H53" s="9"/>
      <c r="I53" s="9"/>
      <c r="J53" s="9"/>
      <c r="K53" s="10"/>
      <c r="L53" s="10"/>
      <c r="M53" s="9"/>
      <c r="N53" s="9"/>
      <c r="O53" s="9"/>
      <c r="P5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 s="9"/>
      <c r="R53" s="9"/>
      <c r="S53" s="9"/>
      <c r="T53" s="37"/>
      <c r="U53" s="37"/>
      <c r="V53" s="37"/>
      <c r="W53" s="37"/>
      <c r="X53" s="37"/>
      <c r="Y53" s="37"/>
      <c r="Z5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 s="37"/>
      <c r="AB53" s="66" t="str">
        <f>IF(COUNTA(SalCommune[[#This Row],[Nom]:[heures annuelles
selon contrat(s)]])=0,"",SalCommune[[#This Row],[Total global]]-ABS(SalCommune[[#This Row],[Dont non opposable]]))</f>
        <v/>
      </c>
      <c r="AC53" s="8"/>
      <c r="AD53" s="63"/>
      <c r="AE53" s="430"/>
      <c r="AF53" s="430"/>
      <c r="AG53" s="430"/>
      <c r="AH53" s="181"/>
      <c r="AI53" s="194">
        <f>IF(COUNTA(SalCommune[[#This Row],[N°]:[heures annuelles
selon contrat(s)]])=0,"",REVEX!$E$9)</f>
        <v>0</v>
      </c>
      <c r="AJ53" s="72" t="str">
        <f>IF(SalCommune[[#This Row],[Allocations fonctions]]="","",IF(ISNA(VLOOKUP(SalCommune[[#This Row],[Allocations fonctions]],DROPDOWN[Dropdown82],1,FALSE))=TRUE,"&lt;-- Veuillez choisir l'allocation parmis la liste déroulante.",""))</f>
        <v/>
      </c>
    </row>
    <row r="54" spans="1:36" x14ac:dyDescent="0.25">
      <c r="A54" s="72" t="str">
        <f>IF(SalCommune[[#This Row],[Statut]]="","",IF(ISNA(VLOOKUP(SalCommune[[#This Row],[Statut]],'Grille communale'!$B$3:$B$5,1,FALSE))=TRUE,"Veuillez choisir le statut parmis la liste déroulante",""))</f>
        <v/>
      </c>
      <c r="B54" s="725" t="str">
        <f>IF(SalCommune[[#This Row],[Matricule]]="","",MAX($B$7:B53)+1)</f>
        <v/>
      </c>
      <c r="C54" s="8"/>
      <c r="D54" s="8"/>
      <c r="E54" s="20"/>
      <c r="F54" s="8"/>
      <c r="G54" s="8"/>
      <c r="H54" s="9"/>
      <c r="I54" s="9"/>
      <c r="J54" s="9"/>
      <c r="K54" s="10"/>
      <c r="L54" s="10"/>
      <c r="M54" s="9"/>
      <c r="N54" s="9"/>
      <c r="O54" s="9"/>
      <c r="P5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 s="9"/>
      <c r="R54" s="9"/>
      <c r="S54" s="9"/>
      <c r="T54" s="37"/>
      <c r="U54" s="37"/>
      <c r="V54" s="37"/>
      <c r="W54" s="37"/>
      <c r="X54" s="37"/>
      <c r="Y54" s="37"/>
      <c r="Z5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 s="37"/>
      <c r="AB54" s="66" t="str">
        <f>IF(COUNTA(SalCommune[[#This Row],[Nom]:[heures annuelles
selon contrat(s)]])=0,"",SalCommune[[#This Row],[Total global]]-ABS(SalCommune[[#This Row],[Dont non opposable]]))</f>
        <v/>
      </c>
      <c r="AC54" s="8"/>
      <c r="AD54" s="63"/>
      <c r="AE54" s="430"/>
      <c r="AF54" s="430"/>
      <c r="AG54" s="430"/>
      <c r="AH54" s="181"/>
      <c r="AI54" s="194">
        <f>IF(COUNTA(SalCommune[[#This Row],[N°]:[heures annuelles
selon contrat(s)]])=0,"",REVEX!$E$9)</f>
        <v>0</v>
      </c>
      <c r="AJ54" s="72" t="str">
        <f>IF(SalCommune[[#This Row],[Allocations fonctions]]="","",IF(ISNA(VLOOKUP(SalCommune[[#This Row],[Allocations fonctions]],DROPDOWN[Dropdown82],1,FALSE))=TRUE,"&lt;-- Veuillez choisir l'allocation parmis la liste déroulante.",""))</f>
        <v/>
      </c>
    </row>
    <row r="55" spans="1:36" x14ac:dyDescent="0.25">
      <c r="A55" s="72" t="str">
        <f>IF(SalCommune[[#This Row],[Statut]]="","",IF(ISNA(VLOOKUP(SalCommune[[#This Row],[Statut]],'Grille communale'!$B$3:$B$5,1,FALSE))=TRUE,"Veuillez choisir le statut parmis la liste déroulante",""))</f>
        <v/>
      </c>
      <c r="B55" s="725" t="str">
        <f>IF(SalCommune[[#This Row],[Matricule]]="","",MAX($B$7:B54)+1)</f>
        <v/>
      </c>
      <c r="C55" s="8"/>
      <c r="D55" s="8"/>
      <c r="E55" s="20"/>
      <c r="F55" s="8"/>
      <c r="G55" s="8"/>
      <c r="H55" s="9"/>
      <c r="I55" s="9"/>
      <c r="J55" s="9"/>
      <c r="K55" s="10"/>
      <c r="L55" s="10"/>
      <c r="M55" s="9"/>
      <c r="N55" s="9"/>
      <c r="O55" s="9"/>
      <c r="P5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 s="9"/>
      <c r="R55" s="9"/>
      <c r="S55" s="9"/>
      <c r="T55" s="37"/>
      <c r="U55" s="37"/>
      <c r="V55" s="37"/>
      <c r="W55" s="37"/>
      <c r="X55" s="37"/>
      <c r="Y55" s="37"/>
      <c r="Z5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 s="37"/>
      <c r="AB55" s="66" t="str">
        <f>IF(COUNTA(SalCommune[[#This Row],[Nom]:[heures annuelles
selon contrat(s)]])=0,"",SalCommune[[#This Row],[Total global]]-ABS(SalCommune[[#This Row],[Dont non opposable]]))</f>
        <v/>
      </c>
      <c r="AC55" s="8"/>
      <c r="AD55" s="63"/>
      <c r="AE55" s="430"/>
      <c r="AF55" s="430"/>
      <c r="AG55" s="430"/>
      <c r="AH55" s="181"/>
      <c r="AI55" s="194">
        <f>IF(COUNTA(SalCommune[[#This Row],[N°]:[heures annuelles
selon contrat(s)]])=0,"",REVEX!$E$9)</f>
        <v>0</v>
      </c>
      <c r="AJ55" s="72" t="str">
        <f>IF(SalCommune[[#This Row],[Allocations fonctions]]="","",IF(ISNA(VLOOKUP(SalCommune[[#This Row],[Allocations fonctions]],DROPDOWN[Dropdown82],1,FALSE))=TRUE,"&lt;-- Veuillez choisir l'allocation parmis la liste déroulante.",""))</f>
        <v/>
      </c>
    </row>
    <row r="56" spans="1:36" x14ac:dyDescent="0.25">
      <c r="A56" s="72" t="str">
        <f>IF(SalCommune[[#This Row],[Statut]]="","",IF(ISNA(VLOOKUP(SalCommune[[#This Row],[Statut]],'Grille communale'!$B$3:$B$5,1,FALSE))=TRUE,"Veuillez choisir le statut parmis la liste déroulante",""))</f>
        <v/>
      </c>
      <c r="B56" s="725" t="str">
        <f>IF(SalCommune[[#This Row],[Matricule]]="","",MAX($B$7:B55)+1)</f>
        <v/>
      </c>
      <c r="C56" s="8"/>
      <c r="D56" s="8"/>
      <c r="E56" s="20"/>
      <c r="F56" s="8"/>
      <c r="G56" s="8"/>
      <c r="H56" s="9"/>
      <c r="I56" s="9"/>
      <c r="J56" s="9"/>
      <c r="K56" s="10"/>
      <c r="L56" s="10"/>
      <c r="M56" s="9"/>
      <c r="N56" s="9"/>
      <c r="O56" s="9"/>
      <c r="P5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 s="9"/>
      <c r="R56" s="9"/>
      <c r="S56" s="9"/>
      <c r="T56" s="37"/>
      <c r="U56" s="37"/>
      <c r="V56" s="37"/>
      <c r="W56" s="37"/>
      <c r="X56" s="37"/>
      <c r="Y56" s="37"/>
      <c r="Z5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 s="37"/>
      <c r="AB56" s="66" t="str">
        <f>IF(COUNTA(SalCommune[[#This Row],[Nom]:[heures annuelles
selon contrat(s)]])=0,"",SalCommune[[#This Row],[Total global]]-ABS(SalCommune[[#This Row],[Dont non opposable]]))</f>
        <v/>
      </c>
      <c r="AC56" s="8"/>
      <c r="AD56" s="63"/>
      <c r="AE56" s="430"/>
      <c r="AF56" s="430"/>
      <c r="AG56" s="430"/>
      <c r="AH56" s="181"/>
      <c r="AI56" s="194">
        <f>IF(COUNTA(SalCommune[[#This Row],[N°]:[heures annuelles
selon contrat(s)]])=0,"",REVEX!$E$9)</f>
        <v>0</v>
      </c>
      <c r="AJ56" s="72" t="str">
        <f>IF(SalCommune[[#This Row],[Allocations fonctions]]="","",IF(ISNA(VLOOKUP(SalCommune[[#This Row],[Allocations fonctions]],DROPDOWN[Dropdown82],1,FALSE))=TRUE,"&lt;-- Veuillez choisir l'allocation parmis la liste déroulante.",""))</f>
        <v/>
      </c>
    </row>
    <row r="57" spans="1:36" x14ac:dyDescent="0.25">
      <c r="A57" s="72" t="str">
        <f>IF(SalCommune[[#This Row],[Statut]]="","",IF(ISNA(VLOOKUP(SalCommune[[#This Row],[Statut]],'Grille communale'!$B$3:$B$5,1,FALSE))=TRUE,"Veuillez choisir le statut parmis la liste déroulante",""))</f>
        <v/>
      </c>
      <c r="B57" s="725" t="str">
        <f>IF(SalCommune[[#This Row],[Matricule]]="","",MAX($B$7:B56)+1)</f>
        <v/>
      </c>
      <c r="C57" s="8"/>
      <c r="D57" s="8"/>
      <c r="E57" s="20"/>
      <c r="F57" s="8"/>
      <c r="G57" s="8"/>
      <c r="H57" s="9"/>
      <c r="I57" s="9"/>
      <c r="J57" s="9"/>
      <c r="K57" s="10"/>
      <c r="L57" s="10"/>
      <c r="M57" s="9"/>
      <c r="N57" s="9"/>
      <c r="O57" s="9"/>
      <c r="P5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 s="9"/>
      <c r="R57" s="9"/>
      <c r="S57" s="9"/>
      <c r="T57" s="37"/>
      <c r="U57" s="37"/>
      <c r="V57" s="37"/>
      <c r="W57" s="37"/>
      <c r="X57" s="37"/>
      <c r="Y57" s="37"/>
      <c r="Z5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 s="37"/>
      <c r="AB57" s="66" t="str">
        <f>IF(COUNTA(SalCommune[[#This Row],[Nom]:[heures annuelles
selon contrat(s)]])=0,"",SalCommune[[#This Row],[Total global]]-ABS(SalCommune[[#This Row],[Dont non opposable]]))</f>
        <v/>
      </c>
      <c r="AC57" s="8"/>
      <c r="AD57" s="63"/>
      <c r="AE57" s="430"/>
      <c r="AF57" s="430"/>
      <c r="AG57" s="430"/>
      <c r="AH57" s="181"/>
      <c r="AI57" s="194">
        <f>IF(COUNTA(SalCommune[[#This Row],[N°]:[heures annuelles
selon contrat(s)]])=0,"",REVEX!$E$9)</f>
        <v>0</v>
      </c>
      <c r="AJ57" s="72" t="str">
        <f>IF(SalCommune[[#This Row],[Allocations fonctions]]="","",IF(ISNA(VLOOKUP(SalCommune[[#This Row],[Allocations fonctions]],DROPDOWN[Dropdown82],1,FALSE))=TRUE,"&lt;-- Veuillez choisir l'allocation parmis la liste déroulante.",""))</f>
        <v/>
      </c>
    </row>
    <row r="58" spans="1:36" x14ac:dyDescent="0.25">
      <c r="A58" s="72" t="str">
        <f>IF(SalCommune[[#This Row],[Statut]]="","",IF(ISNA(VLOOKUP(SalCommune[[#This Row],[Statut]],'Grille communale'!$B$3:$B$5,1,FALSE))=TRUE,"Veuillez choisir le statut parmis la liste déroulante",""))</f>
        <v/>
      </c>
      <c r="B58" s="725" t="str">
        <f>IF(SalCommune[[#This Row],[Matricule]]="","",MAX($B$7:B57)+1)</f>
        <v/>
      </c>
      <c r="C58" s="8"/>
      <c r="D58" s="8"/>
      <c r="E58" s="20"/>
      <c r="F58" s="8"/>
      <c r="G58" s="8"/>
      <c r="H58" s="9"/>
      <c r="I58" s="9"/>
      <c r="J58" s="9"/>
      <c r="K58" s="10"/>
      <c r="L58" s="10"/>
      <c r="M58" s="9"/>
      <c r="N58" s="9"/>
      <c r="O58" s="9"/>
      <c r="P5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 s="9"/>
      <c r="R58" s="9"/>
      <c r="S58" s="9"/>
      <c r="T58" s="37"/>
      <c r="U58" s="37"/>
      <c r="V58" s="37"/>
      <c r="W58" s="37"/>
      <c r="X58" s="37"/>
      <c r="Y58" s="37"/>
      <c r="Z5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 s="37"/>
      <c r="AB58" s="66" t="str">
        <f>IF(COUNTA(SalCommune[[#This Row],[Nom]:[heures annuelles
selon contrat(s)]])=0,"",SalCommune[[#This Row],[Total global]]-ABS(SalCommune[[#This Row],[Dont non opposable]]))</f>
        <v/>
      </c>
      <c r="AC58" s="8"/>
      <c r="AD58" s="63"/>
      <c r="AE58" s="430"/>
      <c r="AF58" s="430"/>
      <c r="AG58" s="430"/>
      <c r="AH58" s="181"/>
      <c r="AI58" s="194">
        <f>IF(COUNTA(SalCommune[[#This Row],[N°]:[heures annuelles
selon contrat(s)]])=0,"",REVEX!$E$9)</f>
        <v>0</v>
      </c>
      <c r="AJ58" s="72" t="str">
        <f>IF(SalCommune[[#This Row],[Allocations fonctions]]="","",IF(ISNA(VLOOKUP(SalCommune[[#This Row],[Allocations fonctions]],DROPDOWN[Dropdown82],1,FALSE))=TRUE,"&lt;-- Veuillez choisir l'allocation parmis la liste déroulante.",""))</f>
        <v/>
      </c>
    </row>
    <row r="59" spans="1:36" x14ac:dyDescent="0.25">
      <c r="A59" s="72" t="str">
        <f>IF(SalCommune[[#This Row],[Statut]]="","",IF(ISNA(VLOOKUP(SalCommune[[#This Row],[Statut]],'Grille communale'!$B$3:$B$5,1,FALSE))=TRUE,"Veuillez choisir le statut parmis la liste déroulante",""))</f>
        <v/>
      </c>
      <c r="B59" s="725" t="str">
        <f>IF(SalCommune[[#This Row],[Matricule]]="","",MAX($B$7:B58)+1)</f>
        <v/>
      </c>
      <c r="C59" s="8"/>
      <c r="D59" s="8"/>
      <c r="E59" s="20"/>
      <c r="F59" s="8"/>
      <c r="G59" s="8"/>
      <c r="H59" s="9"/>
      <c r="I59" s="9"/>
      <c r="J59" s="9"/>
      <c r="K59" s="10"/>
      <c r="L59" s="10"/>
      <c r="M59" s="9"/>
      <c r="N59" s="9"/>
      <c r="O59" s="9"/>
      <c r="P5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 s="9"/>
      <c r="R59" s="9"/>
      <c r="S59" s="9"/>
      <c r="T59" s="37"/>
      <c r="U59" s="37"/>
      <c r="V59" s="37"/>
      <c r="W59" s="37"/>
      <c r="X59" s="37"/>
      <c r="Y59" s="37"/>
      <c r="Z5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 s="37"/>
      <c r="AB59" s="66" t="str">
        <f>IF(COUNTA(SalCommune[[#This Row],[Nom]:[heures annuelles
selon contrat(s)]])=0,"",SalCommune[[#This Row],[Total global]]-ABS(SalCommune[[#This Row],[Dont non opposable]]))</f>
        <v/>
      </c>
      <c r="AC59" s="8"/>
      <c r="AD59" s="63"/>
      <c r="AE59" s="430"/>
      <c r="AF59" s="430"/>
      <c r="AG59" s="430"/>
      <c r="AH59" s="181"/>
      <c r="AI59" s="194">
        <f>IF(COUNTA(SalCommune[[#This Row],[N°]:[heures annuelles
selon contrat(s)]])=0,"",REVEX!$E$9)</f>
        <v>0</v>
      </c>
      <c r="AJ59" s="72" t="str">
        <f>IF(SalCommune[[#This Row],[Allocations fonctions]]="","",IF(ISNA(VLOOKUP(SalCommune[[#This Row],[Allocations fonctions]],DROPDOWN[Dropdown82],1,FALSE))=TRUE,"&lt;-- Veuillez choisir l'allocation parmis la liste déroulante.",""))</f>
        <v/>
      </c>
    </row>
    <row r="60" spans="1:36" x14ac:dyDescent="0.25">
      <c r="A60" s="72" t="str">
        <f>IF(SalCommune[[#This Row],[Statut]]="","",IF(ISNA(VLOOKUP(SalCommune[[#This Row],[Statut]],'Grille communale'!$B$3:$B$5,1,FALSE))=TRUE,"Veuillez choisir le statut parmis la liste déroulante",""))</f>
        <v/>
      </c>
      <c r="B60" s="725" t="str">
        <f>IF(SalCommune[[#This Row],[Matricule]]="","",MAX($B$7:B59)+1)</f>
        <v/>
      </c>
      <c r="C60" s="8"/>
      <c r="D60" s="8"/>
      <c r="E60" s="20"/>
      <c r="F60" s="8"/>
      <c r="G60" s="8"/>
      <c r="H60" s="9"/>
      <c r="I60" s="9"/>
      <c r="J60" s="9"/>
      <c r="K60" s="10"/>
      <c r="L60" s="10"/>
      <c r="M60" s="9"/>
      <c r="N60" s="9"/>
      <c r="O60" s="9"/>
      <c r="P6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 s="9"/>
      <c r="R60" s="9"/>
      <c r="S60" s="9"/>
      <c r="T60" s="37"/>
      <c r="U60" s="37"/>
      <c r="V60" s="37"/>
      <c r="W60" s="37"/>
      <c r="X60" s="37"/>
      <c r="Y60" s="37"/>
      <c r="Z6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 s="37"/>
      <c r="AB60" s="66" t="str">
        <f>IF(COUNTA(SalCommune[[#This Row],[Nom]:[heures annuelles
selon contrat(s)]])=0,"",SalCommune[[#This Row],[Total global]]-ABS(SalCommune[[#This Row],[Dont non opposable]]))</f>
        <v/>
      </c>
      <c r="AC60" s="8"/>
      <c r="AD60" s="63"/>
      <c r="AE60" s="430"/>
      <c r="AF60" s="430"/>
      <c r="AG60" s="430"/>
      <c r="AH60" s="181"/>
      <c r="AI60" s="194">
        <f>IF(COUNTA(SalCommune[[#This Row],[N°]:[heures annuelles
selon contrat(s)]])=0,"",REVEX!$E$9)</f>
        <v>0</v>
      </c>
      <c r="AJ60" s="72" t="str">
        <f>IF(SalCommune[[#This Row],[Allocations fonctions]]="","",IF(ISNA(VLOOKUP(SalCommune[[#This Row],[Allocations fonctions]],DROPDOWN[Dropdown82],1,FALSE))=TRUE,"&lt;-- Veuillez choisir l'allocation parmis la liste déroulante.",""))</f>
        <v/>
      </c>
    </row>
    <row r="61" spans="1:36" x14ac:dyDescent="0.25">
      <c r="A61" s="72" t="str">
        <f>IF(SalCommune[[#This Row],[Statut]]="","",IF(ISNA(VLOOKUP(SalCommune[[#This Row],[Statut]],'Grille communale'!$B$3:$B$5,1,FALSE))=TRUE,"Veuillez choisir le statut parmis la liste déroulante",""))</f>
        <v/>
      </c>
      <c r="B61" s="725" t="str">
        <f>IF(SalCommune[[#This Row],[Matricule]]="","",MAX($B$7:B60)+1)</f>
        <v/>
      </c>
      <c r="C61" s="8"/>
      <c r="D61" s="8"/>
      <c r="E61" s="20"/>
      <c r="F61" s="8"/>
      <c r="G61" s="8"/>
      <c r="H61" s="9"/>
      <c r="I61" s="9"/>
      <c r="J61" s="9"/>
      <c r="K61" s="10"/>
      <c r="L61" s="10"/>
      <c r="M61" s="9"/>
      <c r="N61" s="9"/>
      <c r="O61" s="9"/>
      <c r="P6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 s="9"/>
      <c r="R61" s="9"/>
      <c r="S61" s="9"/>
      <c r="T61" s="37"/>
      <c r="U61" s="37"/>
      <c r="V61" s="37"/>
      <c r="W61" s="37"/>
      <c r="X61" s="37"/>
      <c r="Y61" s="37"/>
      <c r="Z6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 s="37"/>
      <c r="AB61" s="66" t="str">
        <f>IF(COUNTA(SalCommune[[#This Row],[Nom]:[heures annuelles
selon contrat(s)]])=0,"",SalCommune[[#This Row],[Total global]]-ABS(SalCommune[[#This Row],[Dont non opposable]]))</f>
        <v/>
      </c>
      <c r="AC61" s="8"/>
      <c r="AD61" s="63"/>
      <c r="AE61" s="430"/>
      <c r="AF61" s="430"/>
      <c r="AG61" s="430"/>
      <c r="AH61" s="181"/>
      <c r="AI61" s="194">
        <f>IF(COUNTA(SalCommune[[#This Row],[N°]:[heures annuelles
selon contrat(s)]])=0,"",REVEX!$E$9)</f>
        <v>0</v>
      </c>
      <c r="AJ61" s="72" t="str">
        <f>IF(SalCommune[[#This Row],[Allocations fonctions]]="","",IF(ISNA(VLOOKUP(SalCommune[[#This Row],[Allocations fonctions]],DROPDOWN[Dropdown82],1,FALSE))=TRUE,"&lt;-- Veuillez choisir l'allocation parmis la liste déroulante.",""))</f>
        <v/>
      </c>
    </row>
    <row r="62" spans="1:36" x14ac:dyDescent="0.25">
      <c r="A62" s="72" t="str">
        <f>IF(SalCommune[[#This Row],[Statut]]="","",IF(ISNA(VLOOKUP(SalCommune[[#This Row],[Statut]],'Grille communale'!$B$3:$B$5,1,FALSE))=TRUE,"Veuillez choisir le statut parmis la liste déroulante",""))</f>
        <v/>
      </c>
      <c r="B62" s="725" t="str">
        <f>IF(SalCommune[[#This Row],[Matricule]]="","",MAX($B$7:B61)+1)</f>
        <v/>
      </c>
      <c r="C62" s="8"/>
      <c r="D62" s="8"/>
      <c r="E62" s="20"/>
      <c r="F62" s="8"/>
      <c r="G62" s="8"/>
      <c r="H62" s="9"/>
      <c r="I62" s="9"/>
      <c r="J62" s="9"/>
      <c r="K62" s="10"/>
      <c r="L62" s="10"/>
      <c r="M62" s="9"/>
      <c r="N62" s="9"/>
      <c r="O62" s="9"/>
      <c r="P6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 s="9"/>
      <c r="R62" s="9"/>
      <c r="S62" s="9"/>
      <c r="T62" s="37"/>
      <c r="U62" s="37"/>
      <c r="V62" s="37"/>
      <c r="W62" s="37"/>
      <c r="X62" s="37"/>
      <c r="Y62" s="37"/>
      <c r="Z6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 s="37"/>
      <c r="AB62" s="66" t="str">
        <f>IF(COUNTA(SalCommune[[#This Row],[Nom]:[heures annuelles
selon contrat(s)]])=0,"",SalCommune[[#This Row],[Total global]]-ABS(SalCommune[[#This Row],[Dont non opposable]]))</f>
        <v/>
      </c>
      <c r="AC62" s="8"/>
      <c r="AD62" s="63"/>
      <c r="AE62" s="430"/>
      <c r="AF62" s="430"/>
      <c r="AG62" s="430"/>
      <c r="AH62" s="181"/>
      <c r="AI62" s="194">
        <f>IF(COUNTA(SalCommune[[#This Row],[N°]:[heures annuelles
selon contrat(s)]])=0,"",REVEX!$E$9)</f>
        <v>0</v>
      </c>
      <c r="AJ62" s="72" t="str">
        <f>IF(SalCommune[[#This Row],[Allocations fonctions]]="","",IF(ISNA(VLOOKUP(SalCommune[[#This Row],[Allocations fonctions]],DROPDOWN[Dropdown82],1,FALSE))=TRUE,"&lt;-- Veuillez choisir l'allocation parmis la liste déroulante.",""))</f>
        <v/>
      </c>
    </row>
    <row r="63" spans="1:36" x14ac:dyDescent="0.25">
      <c r="A63" s="72" t="str">
        <f>IF(SalCommune[[#This Row],[Statut]]="","",IF(ISNA(VLOOKUP(SalCommune[[#This Row],[Statut]],'Grille communale'!$B$3:$B$5,1,FALSE))=TRUE,"Veuillez choisir le statut parmis la liste déroulante",""))</f>
        <v/>
      </c>
      <c r="B63" s="725" t="str">
        <f>IF(SalCommune[[#This Row],[Matricule]]="","",MAX($B$7:B62)+1)</f>
        <v/>
      </c>
      <c r="C63" s="8"/>
      <c r="D63" s="8"/>
      <c r="E63" s="20"/>
      <c r="F63" s="8"/>
      <c r="G63" s="8"/>
      <c r="H63" s="9"/>
      <c r="I63" s="9"/>
      <c r="J63" s="9"/>
      <c r="K63" s="10"/>
      <c r="L63" s="10"/>
      <c r="M63" s="9"/>
      <c r="N63" s="9"/>
      <c r="O63" s="9"/>
      <c r="P6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 s="9"/>
      <c r="R63" s="9"/>
      <c r="S63" s="9"/>
      <c r="T63" s="37"/>
      <c r="U63" s="37"/>
      <c r="V63" s="37"/>
      <c r="W63" s="37"/>
      <c r="X63" s="37"/>
      <c r="Y63" s="37"/>
      <c r="Z6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 s="37"/>
      <c r="AB63" s="66" t="str">
        <f>IF(COUNTA(SalCommune[[#This Row],[Nom]:[heures annuelles
selon contrat(s)]])=0,"",SalCommune[[#This Row],[Total global]]-ABS(SalCommune[[#This Row],[Dont non opposable]]))</f>
        <v/>
      </c>
      <c r="AC63" s="8"/>
      <c r="AD63" s="63"/>
      <c r="AE63" s="430"/>
      <c r="AF63" s="430"/>
      <c r="AG63" s="430"/>
      <c r="AH63" s="181"/>
      <c r="AI63" s="194">
        <f>IF(COUNTA(SalCommune[[#This Row],[N°]:[heures annuelles
selon contrat(s)]])=0,"",REVEX!$E$9)</f>
        <v>0</v>
      </c>
      <c r="AJ63" s="72" t="str">
        <f>IF(SalCommune[[#This Row],[Allocations fonctions]]="","",IF(ISNA(VLOOKUP(SalCommune[[#This Row],[Allocations fonctions]],DROPDOWN[Dropdown82],1,FALSE))=TRUE,"&lt;-- Veuillez choisir l'allocation parmis la liste déroulante.",""))</f>
        <v/>
      </c>
    </row>
    <row r="64" spans="1:36" x14ac:dyDescent="0.25">
      <c r="A64" s="72" t="str">
        <f>IF(SalCommune[[#This Row],[Statut]]="","",IF(ISNA(VLOOKUP(SalCommune[[#This Row],[Statut]],'Grille communale'!$B$3:$B$5,1,FALSE))=TRUE,"Veuillez choisir le statut parmis la liste déroulante",""))</f>
        <v/>
      </c>
      <c r="B64" s="725" t="str">
        <f>IF(SalCommune[[#This Row],[Matricule]]="","",MAX($B$7:B63)+1)</f>
        <v/>
      </c>
      <c r="C64" s="8"/>
      <c r="D64" s="8"/>
      <c r="E64" s="20"/>
      <c r="F64" s="8"/>
      <c r="G64" s="8"/>
      <c r="H64" s="9"/>
      <c r="I64" s="9"/>
      <c r="J64" s="9"/>
      <c r="K64" s="10"/>
      <c r="L64" s="10"/>
      <c r="M64" s="9"/>
      <c r="N64" s="9"/>
      <c r="O64" s="9"/>
      <c r="P6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 s="9"/>
      <c r="R64" s="9"/>
      <c r="S64" s="9"/>
      <c r="T64" s="37"/>
      <c r="U64" s="37"/>
      <c r="V64" s="37"/>
      <c r="W64" s="37"/>
      <c r="X64" s="37"/>
      <c r="Y64" s="37"/>
      <c r="Z6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 s="37"/>
      <c r="AB64" s="66" t="str">
        <f>IF(COUNTA(SalCommune[[#This Row],[Nom]:[heures annuelles
selon contrat(s)]])=0,"",SalCommune[[#This Row],[Total global]]-ABS(SalCommune[[#This Row],[Dont non opposable]]))</f>
        <v/>
      </c>
      <c r="AC64" s="8"/>
      <c r="AD64" s="63"/>
      <c r="AE64" s="430"/>
      <c r="AF64" s="430"/>
      <c r="AG64" s="430"/>
      <c r="AH64" s="181"/>
      <c r="AI64" s="194">
        <f>IF(COUNTA(SalCommune[[#This Row],[N°]:[heures annuelles
selon contrat(s)]])=0,"",REVEX!$E$9)</f>
        <v>0</v>
      </c>
      <c r="AJ64" s="72" t="str">
        <f>IF(SalCommune[[#This Row],[Allocations fonctions]]="","",IF(ISNA(VLOOKUP(SalCommune[[#This Row],[Allocations fonctions]],DROPDOWN[Dropdown82],1,FALSE))=TRUE,"&lt;-- Veuillez choisir l'allocation parmis la liste déroulante.",""))</f>
        <v/>
      </c>
    </row>
    <row r="65" spans="1:36" x14ac:dyDescent="0.25">
      <c r="A65" s="72" t="str">
        <f>IF(SalCommune[[#This Row],[Statut]]="","",IF(ISNA(VLOOKUP(SalCommune[[#This Row],[Statut]],'Grille communale'!$B$3:$B$5,1,FALSE))=TRUE,"Veuillez choisir le statut parmis la liste déroulante",""))</f>
        <v/>
      </c>
      <c r="B65" s="725" t="str">
        <f>IF(SalCommune[[#This Row],[Matricule]]="","",MAX($B$7:B64)+1)</f>
        <v/>
      </c>
      <c r="C65" s="8"/>
      <c r="D65" s="8"/>
      <c r="E65" s="20"/>
      <c r="F65" s="8"/>
      <c r="G65" s="8"/>
      <c r="H65" s="9"/>
      <c r="I65" s="9"/>
      <c r="J65" s="9"/>
      <c r="K65" s="10"/>
      <c r="L65" s="10"/>
      <c r="M65" s="9"/>
      <c r="N65" s="9"/>
      <c r="O65" s="9"/>
      <c r="P6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 s="9"/>
      <c r="R65" s="9"/>
      <c r="S65" s="9"/>
      <c r="T65" s="37"/>
      <c r="U65" s="37"/>
      <c r="V65" s="37"/>
      <c r="W65" s="37"/>
      <c r="X65" s="37"/>
      <c r="Y65" s="37"/>
      <c r="Z6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 s="37"/>
      <c r="AB65" s="66" t="str">
        <f>IF(COUNTA(SalCommune[[#This Row],[Nom]:[heures annuelles
selon contrat(s)]])=0,"",SalCommune[[#This Row],[Total global]]-ABS(SalCommune[[#This Row],[Dont non opposable]]))</f>
        <v/>
      </c>
      <c r="AC65" s="8"/>
      <c r="AD65" s="63"/>
      <c r="AE65" s="430"/>
      <c r="AF65" s="430"/>
      <c r="AG65" s="430"/>
      <c r="AH65" s="181"/>
      <c r="AI65" s="194">
        <f>IF(COUNTA(SalCommune[[#This Row],[N°]:[heures annuelles
selon contrat(s)]])=0,"",REVEX!$E$9)</f>
        <v>0</v>
      </c>
      <c r="AJ65" s="72" t="str">
        <f>IF(SalCommune[[#This Row],[Allocations fonctions]]="","",IF(ISNA(VLOOKUP(SalCommune[[#This Row],[Allocations fonctions]],DROPDOWN[Dropdown82],1,FALSE))=TRUE,"&lt;-- Veuillez choisir l'allocation parmis la liste déroulante.",""))</f>
        <v/>
      </c>
    </row>
    <row r="66" spans="1:36" x14ac:dyDescent="0.25">
      <c r="A66" s="72" t="str">
        <f>IF(SalCommune[[#This Row],[Statut]]="","",IF(ISNA(VLOOKUP(SalCommune[[#This Row],[Statut]],'Grille communale'!$B$3:$B$5,1,FALSE))=TRUE,"Veuillez choisir le statut parmis la liste déroulante",""))</f>
        <v/>
      </c>
      <c r="B66" s="725" t="str">
        <f>IF(SalCommune[[#This Row],[Matricule]]="","",MAX($B$7:B65)+1)</f>
        <v/>
      </c>
      <c r="C66" s="8"/>
      <c r="D66" s="8"/>
      <c r="E66" s="20"/>
      <c r="F66" s="8"/>
      <c r="G66" s="8"/>
      <c r="H66" s="9"/>
      <c r="I66" s="9"/>
      <c r="J66" s="9"/>
      <c r="K66" s="10"/>
      <c r="L66" s="10"/>
      <c r="M66" s="9"/>
      <c r="N66" s="9"/>
      <c r="O66" s="9"/>
      <c r="P6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 s="9"/>
      <c r="R66" s="9"/>
      <c r="S66" s="9"/>
      <c r="T66" s="37"/>
      <c r="U66" s="37"/>
      <c r="V66" s="37"/>
      <c r="W66" s="37"/>
      <c r="X66" s="37"/>
      <c r="Y66" s="37"/>
      <c r="Z6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 s="37"/>
      <c r="AB66" s="66" t="str">
        <f>IF(COUNTA(SalCommune[[#This Row],[Nom]:[heures annuelles
selon contrat(s)]])=0,"",SalCommune[[#This Row],[Total global]]-ABS(SalCommune[[#This Row],[Dont non opposable]]))</f>
        <v/>
      </c>
      <c r="AC66" s="8"/>
      <c r="AD66" s="63"/>
      <c r="AE66" s="430"/>
      <c r="AF66" s="430"/>
      <c r="AG66" s="430"/>
      <c r="AH66" s="181"/>
      <c r="AI66" s="194">
        <f>IF(COUNTA(SalCommune[[#This Row],[N°]:[heures annuelles
selon contrat(s)]])=0,"",REVEX!$E$9)</f>
        <v>0</v>
      </c>
      <c r="AJ66" s="72" t="str">
        <f>IF(SalCommune[[#This Row],[Allocations fonctions]]="","",IF(ISNA(VLOOKUP(SalCommune[[#This Row],[Allocations fonctions]],DROPDOWN[Dropdown82],1,FALSE))=TRUE,"&lt;-- Veuillez choisir l'allocation parmis la liste déroulante.",""))</f>
        <v/>
      </c>
    </row>
    <row r="67" spans="1:36" x14ac:dyDescent="0.25">
      <c r="A67" s="72" t="str">
        <f>IF(SalCommune[[#This Row],[Statut]]="","",IF(ISNA(VLOOKUP(SalCommune[[#This Row],[Statut]],'Grille communale'!$B$3:$B$5,1,FALSE))=TRUE,"Veuillez choisir le statut parmis la liste déroulante",""))</f>
        <v/>
      </c>
      <c r="B67" s="725" t="str">
        <f>IF(SalCommune[[#This Row],[Matricule]]="","",MAX($B$7:B66)+1)</f>
        <v/>
      </c>
      <c r="C67" s="8"/>
      <c r="D67" s="8"/>
      <c r="E67" s="20"/>
      <c r="F67" s="8"/>
      <c r="G67" s="8"/>
      <c r="H67" s="9"/>
      <c r="I67" s="9"/>
      <c r="J67" s="9"/>
      <c r="K67" s="10"/>
      <c r="L67" s="10"/>
      <c r="M67" s="9"/>
      <c r="N67" s="9"/>
      <c r="O67" s="9"/>
      <c r="P6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 s="9"/>
      <c r="R67" s="9"/>
      <c r="S67" s="9"/>
      <c r="T67" s="37"/>
      <c r="U67" s="37"/>
      <c r="V67" s="37"/>
      <c r="W67" s="37"/>
      <c r="X67" s="37"/>
      <c r="Y67" s="37"/>
      <c r="Z6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 s="37"/>
      <c r="AB67" s="66" t="str">
        <f>IF(COUNTA(SalCommune[[#This Row],[Nom]:[heures annuelles
selon contrat(s)]])=0,"",SalCommune[[#This Row],[Total global]]-ABS(SalCommune[[#This Row],[Dont non opposable]]))</f>
        <v/>
      </c>
      <c r="AC67" s="8"/>
      <c r="AD67" s="63"/>
      <c r="AE67" s="430"/>
      <c r="AF67" s="430"/>
      <c r="AG67" s="430"/>
      <c r="AH67" s="181"/>
      <c r="AI67" s="194">
        <f>IF(COUNTA(SalCommune[[#This Row],[N°]:[heures annuelles
selon contrat(s)]])=0,"",REVEX!$E$9)</f>
        <v>0</v>
      </c>
      <c r="AJ67" s="72" t="str">
        <f>IF(SalCommune[[#This Row],[Allocations fonctions]]="","",IF(ISNA(VLOOKUP(SalCommune[[#This Row],[Allocations fonctions]],DROPDOWN[Dropdown82],1,FALSE))=TRUE,"&lt;-- Veuillez choisir l'allocation parmis la liste déroulante.",""))</f>
        <v/>
      </c>
    </row>
    <row r="68" spans="1:36" x14ac:dyDescent="0.25">
      <c r="A68" s="72" t="str">
        <f>IF(SalCommune[[#This Row],[Statut]]="","",IF(ISNA(VLOOKUP(SalCommune[[#This Row],[Statut]],'Grille communale'!$B$3:$B$5,1,FALSE))=TRUE,"Veuillez choisir le statut parmis la liste déroulante",""))</f>
        <v/>
      </c>
      <c r="B68" s="725" t="str">
        <f>IF(SalCommune[[#This Row],[Matricule]]="","",MAX($B$7:B67)+1)</f>
        <v/>
      </c>
      <c r="C68" s="8"/>
      <c r="D68" s="8"/>
      <c r="E68" s="20"/>
      <c r="F68" s="8"/>
      <c r="G68" s="8"/>
      <c r="H68" s="9"/>
      <c r="I68" s="9"/>
      <c r="J68" s="9"/>
      <c r="K68" s="10"/>
      <c r="L68" s="10"/>
      <c r="M68" s="9"/>
      <c r="N68" s="9"/>
      <c r="O68" s="9"/>
      <c r="P6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 s="9"/>
      <c r="R68" s="9"/>
      <c r="S68" s="9"/>
      <c r="T68" s="37"/>
      <c r="U68" s="37"/>
      <c r="V68" s="37"/>
      <c r="W68" s="37"/>
      <c r="X68" s="37"/>
      <c r="Y68" s="37"/>
      <c r="Z6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 s="37"/>
      <c r="AB68" s="66" t="str">
        <f>IF(COUNTA(SalCommune[[#This Row],[Nom]:[heures annuelles
selon contrat(s)]])=0,"",SalCommune[[#This Row],[Total global]]-ABS(SalCommune[[#This Row],[Dont non opposable]]))</f>
        <v/>
      </c>
      <c r="AC68" s="8"/>
      <c r="AD68" s="63"/>
      <c r="AE68" s="430"/>
      <c r="AF68" s="430"/>
      <c r="AG68" s="430"/>
      <c r="AH68" s="181"/>
      <c r="AI68" s="194">
        <f>IF(COUNTA(SalCommune[[#This Row],[N°]:[heures annuelles
selon contrat(s)]])=0,"",REVEX!$E$9)</f>
        <v>0</v>
      </c>
      <c r="AJ68" s="72" t="str">
        <f>IF(SalCommune[[#This Row],[Allocations fonctions]]="","",IF(ISNA(VLOOKUP(SalCommune[[#This Row],[Allocations fonctions]],DROPDOWN[Dropdown82],1,FALSE))=TRUE,"&lt;-- Veuillez choisir l'allocation parmis la liste déroulante.",""))</f>
        <v/>
      </c>
    </row>
    <row r="69" spans="1:36" x14ac:dyDescent="0.25">
      <c r="A69" s="72" t="str">
        <f>IF(SalCommune[[#This Row],[Statut]]="","",IF(ISNA(VLOOKUP(SalCommune[[#This Row],[Statut]],'Grille communale'!$B$3:$B$5,1,FALSE))=TRUE,"Veuillez choisir le statut parmis la liste déroulante",""))</f>
        <v/>
      </c>
      <c r="B69" s="725" t="str">
        <f>IF(SalCommune[[#This Row],[Matricule]]="","",MAX($B$7:B68)+1)</f>
        <v/>
      </c>
      <c r="C69" s="8"/>
      <c r="D69" s="8"/>
      <c r="E69" s="20"/>
      <c r="F69" s="8"/>
      <c r="G69" s="8"/>
      <c r="H69" s="9"/>
      <c r="I69" s="9"/>
      <c r="J69" s="9"/>
      <c r="K69" s="10"/>
      <c r="L69" s="10"/>
      <c r="M69" s="9"/>
      <c r="N69" s="9"/>
      <c r="O69" s="9"/>
      <c r="P6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 s="9"/>
      <c r="R69" s="9"/>
      <c r="S69" s="9"/>
      <c r="T69" s="37"/>
      <c r="U69" s="37"/>
      <c r="V69" s="37"/>
      <c r="W69" s="37"/>
      <c r="X69" s="37"/>
      <c r="Y69" s="37"/>
      <c r="Z6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 s="37"/>
      <c r="AB69" s="66" t="str">
        <f>IF(COUNTA(SalCommune[[#This Row],[Nom]:[heures annuelles
selon contrat(s)]])=0,"",SalCommune[[#This Row],[Total global]]-ABS(SalCommune[[#This Row],[Dont non opposable]]))</f>
        <v/>
      </c>
      <c r="AC69" s="8"/>
      <c r="AD69" s="63"/>
      <c r="AE69" s="430"/>
      <c r="AF69" s="430"/>
      <c r="AG69" s="430"/>
      <c r="AH69" s="181"/>
      <c r="AI69" s="194">
        <f>IF(COUNTA(SalCommune[[#This Row],[N°]:[heures annuelles
selon contrat(s)]])=0,"",REVEX!$E$9)</f>
        <v>0</v>
      </c>
      <c r="AJ69" s="72" t="str">
        <f>IF(SalCommune[[#This Row],[Allocations fonctions]]="","",IF(ISNA(VLOOKUP(SalCommune[[#This Row],[Allocations fonctions]],DROPDOWN[Dropdown82],1,FALSE))=TRUE,"&lt;-- Veuillez choisir l'allocation parmis la liste déroulante.",""))</f>
        <v/>
      </c>
    </row>
    <row r="70" spans="1:36" x14ac:dyDescent="0.25">
      <c r="A70" s="72" t="str">
        <f>IF(SalCommune[[#This Row],[Statut]]="","",IF(ISNA(VLOOKUP(SalCommune[[#This Row],[Statut]],'Grille communale'!$B$3:$B$5,1,FALSE))=TRUE,"Veuillez choisir le statut parmis la liste déroulante",""))</f>
        <v/>
      </c>
      <c r="B70" s="725" t="str">
        <f>IF(SalCommune[[#This Row],[Matricule]]="","",MAX($B$7:B69)+1)</f>
        <v/>
      </c>
      <c r="C70" s="8"/>
      <c r="D70" s="8"/>
      <c r="E70" s="20"/>
      <c r="F70" s="8"/>
      <c r="G70" s="8"/>
      <c r="H70" s="9"/>
      <c r="I70" s="9"/>
      <c r="J70" s="9"/>
      <c r="K70" s="10"/>
      <c r="L70" s="10"/>
      <c r="M70" s="9"/>
      <c r="N70" s="9"/>
      <c r="O70" s="9"/>
      <c r="P7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 s="9"/>
      <c r="R70" s="9"/>
      <c r="S70" s="9"/>
      <c r="T70" s="37"/>
      <c r="U70" s="37"/>
      <c r="V70" s="37"/>
      <c r="W70" s="37"/>
      <c r="X70" s="37"/>
      <c r="Y70" s="37"/>
      <c r="Z7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 s="37"/>
      <c r="AB70" s="66" t="str">
        <f>IF(COUNTA(SalCommune[[#This Row],[Nom]:[heures annuelles
selon contrat(s)]])=0,"",SalCommune[[#This Row],[Total global]]-ABS(SalCommune[[#This Row],[Dont non opposable]]))</f>
        <v/>
      </c>
      <c r="AC70" s="8"/>
      <c r="AD70" s="63"/>
      <c r="AE70" s="430"/>
      <c r="AF70" s="430"/>
      <c r="AG70" s="430"/>
      <c r="AH70" s="181"/>
      <c r="AI70" s="194">
        <f>IF(COUNTA(SalCommune[[#This Row],[N°]:[heures annuelles
selon contrat(s)]])=0,"",REVEX!$E$9)</f>
        <v>0</v>
      </c>
      <c r="AJ70" s="72" t="str">
        <f>IF(SalCommune[[#This Row],[Allocations fonctions]]="","",IF(ISNA(VLOOKUP(SalCommune[[#This Row],[Allocations fonctions]],DROPDOWN[Dropdown82],1,FALSE))=TRUE,"&lt;-- Veuillez choisir l'allocation parmis la liste déroulante.",""))</f>
        <v/>
      </c>
    </row>
    <row r="71" spans="1:36" x14ac:dyDescent="0.25">
      <c r="A71" s="72" t="str">
        <f>IF(SalCommune[[#This Row],[Statut]]="","",IF(ISNA(VLOOKUP(SalCommune[[#This Row],[Statut]],'Grille communale'!$B$3:$B$5,1,FALSE))=TRUE,"Veuillez choisir le statut parmis la liste déroulante",""))</f>
        <v/>
      </c>
      <c r="B71" s="725" t="str">
        <f>IF(SalCommune[[#This Row],[Matricule]]="","",MAX($B$7:B70)+1)</f>
        <v/>
      </c>
      <c r="C71" s="8"/>
      <c r="D71" s="8"/>
      <c r="E71" s="20"/>
      <c r="F71" s="8"/>
      <c r="G71" s="8"/>
      <c r="H71" s="9"/>
      <c r="I71" s="9"/>
      <c r="J71" s="9"/>
      <c r="K71" s="10"/>
      <c r="L71" s="10"/>
      <c r="M71" s="9"/>
      <c r="N71" s="9"/>
      <c r="O71" s="9"/>
      <c r="P7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 s="9"/>
      <c r="R71" s="9"/>
      <c r="S71" s="9"/>
      <c r="T71" s="37"/>
      <c r="U71" s="37"/>
      <c r="V71" s="37"/>
      <c r="W71" s="37"/>
      <c r="X71" s="37"/>
      <c r="Y71" s="37"/>
      <c r="Z7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 s="37"/>
      <c r="AB71" s="66" t="str">
        <f>IF(COUNTA(SalCommune[[#This Row],[Nom]:[heures annuelles
selon contrat(s)]])=0,"",SalCommune[[#This Row],[Total global]]-ABS(SalCommune[[#This Row],[Dont non opposable]]))</f>
        <v/>
      </c>
      <c r="AC71" s="8"/>
      <c r="AD71" s="63"/>
      <c r="AE71" s="430"/>
      <c r="AF71" s="430"/>
      <c r="AG71" s="430"/>
      <c r="AH71" s="181"/>
      <c r="AI71" s="194">
        <f>IF(COUNTA(SalCommune[[#This Row],[N°]:[heures annuelles
selon contrat(s)]])=0,"",REVEX!$E$9)</f>
        <v>0</v>
      </c>
      <c r="AJ71" s="72" t="str">
        <f>IF(SalCommune[[#This Row],[Allocations fonctions]]="","",IF(ISNA(VLOOKUP(SalCommune[[#This Row],[Allocations fonctions]],DROPDOWN[Dropdown82],1,FALSE))=TRUE,"&lt;-- Veuillez choisir l'allocation parmis la liste déroulante.",""))</f>
        <v/>
      </c>
    </row>
    <row r="72" spans="1:36" x14ac:dyDescent="0.25">
      <c r="A72" s="72" t="str">
        <f>IF(SalCommune[[#This Row],[Statut]]="","",IF(ISNA(VLOOKUP(SalCommune[[#This Row],[Statut]],'Grille communale'!$B$3:$B$5,1,FALSE))=TRUE,"Veuillez choisir le statut parmis la liste déroulante",""))</f>
        <v/>
      </c>
      <c r="B72" s="725" t="str">
        <f>IF(SalCommune[[#This Row],[Matricule]]="","",MAX($B$7:B71)+1)</f>
        <v/>
      </c>
      <c r="C72" s="8"/>
      <c r="D72" s="8"/>
      <c r="E72" s="20"/>
      <c r="F72" s="8"/>
      <c r="G72" s="8"/>
      <c r="H72" s="9"/>
      <c r="I72" s="9"/>
      <c r="J72" s="9"/>
      <c r="K72" s="10"/>
      <c r="L72" s="10"/>
      <c r="M72" s="9"/>
      <c r="N72" s="9"/>
      <c r="O72" s="9"/>
      <c r="P7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 s="9"/>
      <c r="R72" s="9"/>
      <c r="S72" s="9"/>
      <c r="T72" s="37"/>
      <c r="U72" s="37"/>
      <c r="V72" s="37"/>
      <c r="W72" s="37"/>
      <c r="X72" s="37"/>
      <c r="Y72" s="37"/>
      <c r="Z7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 s="37"/>
      <c r="AB72" s="66" t="str">
        <f>IF(COUNTA(SalCommune[[#This Row],[Nom]:[heures annuelles
selon contrat(s)]])=0,"",SalCommune[[#This Row],[Total global]]-ABS(SalCommune[[#This Row],[Dont non opposable]]))</f>
        <v/>
      </c>
      <c r="AC72" s="8"/>
      <c r="AD72" s="63"/>
      <c r="AE72" s="430"/>
      <c r="AF72" s="430"/>
      <c r="AG72" s="430"/>
      <c r="AH72" s="181"/>
      <c r="AI72" s="194">
        <f>IF(COUNTA(SalCommune[[#This Row],[N°]:[heures annuelles
selon contrat(s)]])=0,"",REVEX!$E$9)</f>
        <v>0</v>
      </c>
      <c r="AJ72" s="72" t="str">
        <f>IF(SalCommune[[#This Row],[Allocations fonctions]]="","",IF(ISNA(VLOOKUP(SalCommune[[#This Row],[Allocations fonctions]],DROPDOWN[Dropdown82],1,FALSE))=TRUE,"&lt;-- Veuillez choisir l'allocation parmis la liste déroulante.",""))</f>
        <v/>
      </c>
    </row>
    <row r="73" spans="1:36" x14ac:dyDescent="0.25">
      <c r="A73" s="72" t="str">
        <f>IF(SalCommune[[#This Row],[Statut]]="","",IF(ISNA(VLOOKUP(SalCommune[[#This Row],[Statut]],'Grille communale'!$B$3:$B$5,1,FALSE))=TRUE,"Veuillez choisir le statut parmis la liste déroulante",""))</f>
        <v/>
      </c>
      <c r="B73" s="725" t="str">
        <f>IF(SalCommune[[#This Row],[Matricule]]="","",MAX($B$7:B72)+1)</f>
        <v/>
      </c>
      <c r="C73" s="8"/>
      <c r="D73" s="8"/>
      <c r="E73" s="20"/>
      <c r="F73" s="8"/>
      <c r="G73" s="8"/>
      <c r="H73" s="9"/>
      <c r="I73" s="9"/>
      <c r="J73" s="9"/>
      <c r="K73" s="10"/>
      <c r="L73" s="10"/>
      <c r="M73" s="9"/>
      <c r="N73" s="9"/>
      <c r="O73" s="9"/>
      <c r="P7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 s="9"/>
      <c r="R73" s="9"/>
      <c r="S73" s="9"/>
      <c r="T73" s="37"/>
      <c r="U73" s="37"/>
      <c r="V73" s="37"/>
      <c r="W73" s="37"/>
      <c r="X73" s="37"/>
      <c r="Y73" s="37"/>
      <c r="Z7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 s="37"/>
      <c r="AB73" s="66" t="str">
        <f>IF(COUNTA(SalCommune[[#This Row],[Nom]:[heures annuelles
selon contrat(s)]])=0,"",SalCommune[[#This Row],[Total global]]-ABS(SalCommune[[#This Row],[Dont non opposable]]))</f>
        <v/>
      </c>
      <c r="AC73" s="8"/>
      <c r="AD73" s="63"/>
      <c r="AE73" s="430"/>
      <c r="AF73" s="430"/>
      <c r="AG73" s="430"/>
      <c r="AH73" s="181"/>
      <c r="AI73" s="194">
        <f>IF(COUNTA(SalCommune[[#This Row],[N°]:[heures annuelles
selon contrat(s)]])=0,"",REVEX!$E$9)</f>
        <v>0</v>
      </c>
      <c r="AJ73" s="72" t="str">
        <f>IF(SalCommune[[#This Row],[Allocations fonctions]]="","",IF(ISNA(VLOOKUP(SalCommune[[#This Row],[Allocations fonctions]],DROPDOWN[Dropdown82],1,FALSE))=TRUE,"&lt;-- Veuillez choisir l'allocation parmis la liste déroulante.",""))</f>
        <v/>
      </c>
    </row>
    <row r="74" spans="1:36" x14ac:dyDescent="0.25">
      <c r="A74" s="72" t="str">
        <f>IF(SalCommune[[#This Row],[Statut]]="","",IF(ISNA(VLOOKUP(SalCommune[[#This Row],[Statut]],'Grille communale'!$B$3:$B$5,1,FALSE))=TRUE,"Veuillez choisir le statut parmis la liste déroulante",""))</f>
        <v/>
      </c>
      <c r="B74" s="725" t="str">
        <f>IF(SalCommune[[#This Row],[Matricule]]="","",MAX($B$7:B73)+1)</f>
        <v/>
      </c>
      <c r="C74" s="8"/>
      <c r="D74" s="8"/>
      <c r="E74" s="20"/>
      <c r="F74" s="8"/>
      <c r="G74" s="8"/>
      <c r="H74" s="9"/>
      <c r="I74" s="9"/>
      <c r="J74" s="9"/>
      <c r="K74" s="10"/>
      <c r="L74" s="10"/>
      <c r="M74" s="9"/>
      <c r="N74" s="9"/>
      <c r="O74" s="9"/>
      <c r="P7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 s="9"/>
      <c r="R74" s="9"/>
      <c r="S74" s="9"/>
      <c r="T74" s="37"/>
      <c r="U74" s="37"/>
      <c r="V74" s="37"/>
      <c r="W74" s="37"/>
      <c r="X74" s="37"/>
      <c r="Y74" s="37"/>
      <c r="Z7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 s="37"/>
      <c r="AB74" s="66" t="str">
        <f>IF(COUNTA(SalCommune[[#This Row],[Nom]:[heures annuelles
selon contrat(s)]])=0,"",SalCommune[[#This Row],[Total global]]-ABS(SalCommune[[#This Row],[Dont non opposable]]))</f>
        <v/>
      </c>
      <c r="AC74" s="8"/>
      <c r="AD74" s="63"/>
      <c r="AE74" s="430"/>
      <c r="AF74" s="430"/>
      <c r="AG74" s="430"/>
      <c r="AH74" s="181"/>
      <c r="AI74" s="194">
        <f>IF(COUNTA(SalCommune[[#This Row],[N°]:[heures annuelles
selon contrat(s)]])=0,"",REVEX!$E$9)</f>
        <v>0</v>
      </c>
      <c r="AJ74" s="72" t="str">
        <f>IF(SalCommune[[#This Row],[Allocations fonctions]]="","",IF(ISNA(VLOOKUP(SalCommune[[#This Row],[Allocations fonctions]],DROPDOWN[Dropdown82],1,FALSE))=TRUE,"&lt;-- Veuillez choisir l'allocation parmis la liste déroulante.",""))</f>
        <v/>
      </c>
    </row>
    <row r="75" spans="1:36" x14ac:dyDescent="0.25">
      <c r="A75" s="72" t="str">
        <f>IF(SalCommune[[#This Row],[Statut]]="","",IF(ISNA(VLOOKUP(SalCommune[[#This Row],[Statut]],'Grille communale'!$B$3:$B$5,1,FALSE))=TRUE,"Veuillez choisir le statut parmis la liste déroulante",""))</f>
        <v/>
      </c>
      <c r="B75" s="725" t="str">
        <f>IF(SalCommune[[#This Row],[Matricule]]="","",MAX($B$7:B74)+1)</f>
        <v/>
      </c>
      <c r="C75" s="8"/>
      <c r="D75" s="8"/>
      <c r="E75" s="20"/>
      <c r="F75" s="8"/>
      <c r="G75" s="8"/>
      <c r="H75" s="9"/>
      <c r="I75" s="9"/>
      <c r="J75" s="9"/>
      <c r="K75" s="10"/>
      <c r="L75" s="10"/>
      <c r="M75" s="9"/>
      <c r="N75" s="9"/>
      <c r="O75" s="9"/>
      <c r="P7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 s="9"/>
      <c r="R75" s="9"/>
      <c r="S75" s="9"/>
      <c r="T75" s="37"/>
      <c r="U75" s="37"/>
      <c r="V75" s="37"/>
      <c r="W75" s="37"/>
      <c r="X75" s="37"/>
      <c r="Y75" s="37"/>
      <c r="Z7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 s="37"/>
      <c r="AB75" s="66" t="str">
        <f>IF(COUNTA(SalCommune[[#This Row],[Nom]:[heures annuelles
selon contrat(s)]])=0,"",SalCommune[[#This Row],[Total global]]-ABS(SalCommune[[#This Row],[Dont non opposable]]))</f>
        <v/>
      </c>
      <c r="AC75" s="8"/>
      <c r="AD75" s="63"/>
      <c r="AE75" s="430"/>
      <c r="AF75" s="430"/>
      <c r="AG75" s="430"/>
      <c r="AH75" s="181"/>
      <c r="AI75" s="194">
        <f>IF(COUNTA(SalCommune[[#This Row],[N°]:[heures annuelles
selon contrat(s)]])=0,"",REVEX!$E$9)</f>
        <v>0</v>
      </c>
      <c r="AJ75" s="72" t="str">
        <f>IF(SalCommune[[#This Row],[Allocations fonctions]]="","",IF(ISNA(VLOOKUP(SalCommune[[#This Row],[Allocations fonctions]],DROPDOWN[Dropdown82],1,FALSE))=TRUE,"&lt;-- Veuillez choisir l'allocation parmis la liste déroulante.",""))</f>
        <v/>
      </c>
    </row>
    <row r="76" spans="1:36" x14ac:dyDescent="0.25">
      <c r="A76" s="72" t="str">
        <f>IF(SalCommune[[#This Row],[Statut]]="","",IF(ISNA(VLOOKUP(SalCommune[[#This Row],[Statut]],'Grille communale'!$B$3:$B$5,1,FALSE))=TRUE,"Veuillez choisir le statut parmis la liste déroulante",""))</f>
        <v/>
      </c>
      <c r="B76" s="725" t="str">
        <f>IF(SalCommune[[#This Row],[Matricule]]="","",MAX($B$7:B75)+1)</f>
        <v/>
      </c>
      <c r="C76" s="8"/>
      <c r="D76" s="8"/>
      <c r="E76" s="20"/>
      <c r="F76" s="8"/>
      <c r="G76" s="8"/>
      <c r="H76" s="9"/>
      <c r="I76" s="9"/>
      <c r="J76" s="9"/>
      <c r="K76" s="10"/>
      <c r="L76" s="10"/>
      <c r="M76" s="9"/>
      <c r="N76" s="9"/>
      <c r="O76" s="9"/>
      <c r="P7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 s="9"/>
      <c r="R76" s="9"/>
      <c r="S76" s="9"/>
      <c r="T76" s="37"/>
      <c r="U76" s="37"/>
      <c r="V76" s="37"/>
      <c r="W76" s="37"/>
      <c r="X76" s="37"/>
      <c r="Y76" s="37"/>
      <c r="Z7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 s="37"/>
      <c r="AB76" s="66" t="str">
        <f>IF(COUNTA(SalCommune[[#This Row],[Nom]:[heures annuelles
selon contrat(s)]])=0,"",SalCommune[[#This Row],[Total global]]-ABS(SalCommune[[#This Row],[Dont non opposable]]))</f>
        <v/>
      </c>
      <c r="AC76" s="8"/>
      <c r="AD76" s="63"/>
      <c r="AE76" s="430"/>
      <c r="AF76" s="430"/>
      <c r="AG76" s="430"/>
      <c r="AH76" s="181"/>
      <c r="AI76" s="194">
        <f>IF(COUNTA(SalCommune[[#This Row],[N°]:[heures annuelles
selon contrat(s)]])=0,"",REVEX!$E$9)</f>
        <v>0</v>
      </c>
      <c r="AJ76" s="72" t="str">
        <f>IF(SalCommune[[#This Row],[Allocations fonctions]]="","",IF(ISNA(VLOOKUP(SalCommune[[#This Row],[Allocations fonctions]],DROPDOWN[Dropdown82],1,FALSE))=TRUE,"&lt;-- Veuillez choisir l'allocation parmis la liste déroulante.",""))</f>
        <v/>
      </c>
    </row>
    <row r="77" spans="1:36" x14ac:dyDescent="0.25">
      <c r="A77" s="72" t="str">
        <f>IF(SalCommune[[#This Row],[Statut]]="","",IF(ISNA(VLOOKUP(SalCommune[[#This Row],[Statut]],'Grille communale'!$B$3:$B$5,1,FALSE))=TRUE,"Veuillez choisir le statut parmis la liste déroulante",""))</f>
        <v/>
      </c>
      <c r="B77" s="725" t="str">
        <f>IF(SalCommune[[#This Row],[Matricule]]="","",MAX($B$7:B76)+1)</f>
        <v/>
      </c>
      <c r="C77" s="8"/>
      <c r="D77" s="8"/>
      <c r="E77" s="20"/>
      <c r="F77" s="8"/>
      <c r="G77" s="8"/>
      <c r="H77" s="9"/>
      <c r="I77" s="9"/>
      <c r="J77" s="9"/>
      <c r="K77" s="10"/>
      <c r="L77" s="10"/>
      <c r="M77" s="9"/>
      <c r="N77" s="9"/>
      <c r="O77" s="9"/>
      <c r="P7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7" s="9"/>
      <c r="R77" s="9"/>
      <c r="S77" s="9"/>
      <c r="T77" s="37"/>
      <c r="U77" s="37"/>
      <c r="V77" s="37"/>
      <c r="W77" s="37"/>
      <c r="X77" s="37"/>
      <c r="Y77" s="37"/>
      <c r="Z7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7" s="37"/>
      <c r="AB77" s="66" t="str">
        <f>IF(COUNTA(SalCommune[[#This Row],[Nom]:[heures annuelles
selon contrat(s)]])=0,"",SalCommune[[#This Row],[Total global]]-ABS(SalCommune[[#This Row],[Dont non opposable]]))</f>
        <v/>
      </c>
      <c r="AC77" s="8"/>
      <c r="AD77" s="63"/>
      <c r="AE77" s="430"/>
      <c r="AF77" s="430"/>
      <c r="AG77" s="430"/>
      <c r="AH77" s="181"/>
      <c r="AI77" s="194">
        <f>IF(COUNTA(SalCommune[[#This Row],[N°]:[heures annuelles
selon contrat(s)]])=0,"",REVEX!$E$9)</f>
        <v>0</v>
      </c>
      <c r="AJ77" s="72" t="str">
        <f>IF(SalCommune[[#This Row],[Allocations fonctions]]="","",IF(ISNA(VLOOKUP(SalCommune[[#This Row],[Allocations fonctions]],DROPDOWN[Dropdown82],1,FALSE))=TRUE,"&lt;-- Veuillez choisir l'allocation parmis la liste déroulante.",""))</f>
        <v/>
      </c>
    </row>
    <row r="78" spans="1:36" x14ac:dyDescent="0.25">
      <c r="A78" s="72" t="str">
        <f>IF(SalCommune[[#This Row],[Statut]]="","",IF(ISNA(VLOOKUP(SalCommune[[#This Row],[Statut]],'Grille communale'!$B$3:$B$5,1,FALSE))=TRUE,"Veuillez choisir le statut parmis la liste déroulante",""))</f>
        <v/>
      </c>
      <c r="B78" s="725" t="str">
        <f>IF(SalCommune[[#This Row],[Matricule]]="","",MAX($B$7:B77)+1)</f>
        <v/>
      </c>
      <c r="C78" s="8"/>
      <c r="D78" s="8"/>
      <c r="E78" s="20"/>
      <c r="F78" s="8"/>
      <c r="G78" s="8"/>
      <c r="H78" s="9"/>
      <c r="I78" s="9"/>
      <c r="J78" s="9"/>
      <c r="K78" s="10"/>
      <c r="L78" s="10"/>
      <c r="M78" s="9"/>
      <c r="N78" s="9"/>
      <c r="O78" s="9"/>
      <c r="P7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8" s="9"/>
      <c r="R78" s="9"/>
      <c r="S78" s="9"/>
      <c r="T78" s="37"/>
      <c r="U78" s="37"/>
      <c r="V78" s="37"/>
      <c r="W78" s="37"/>
      <c r="X78" s="37"/>
      <c r="Y78" s="37"/>
      <c r="Z7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8" s="37"/>
      <c r="AB78" s="66" t="str">
        <f>IF(COUNTA(SalCommune[[#This Row],[Nom]:[heures annuelles
selon contrat(s)]])=0,"",SalCommune[[#This Row],[Total global]]-ABS(SalCommune[[#This Row],[Dont non opposable]]))</f>
        <v/>
      </c>
      <c r="AC78" s="8"/>
      <c r="AD78" s="63"/>
      <c r="AE78" s="430"/>
      <c r="AF78" s="430"/>
      <c r="AG78" s="430"/>
      <c r="AH78" s="181"/>
      <c r="AI78" s="194">
        <f>IF(COUNTA(SalCommune[[#This Row],[N°]:[heures annuelles
selon contrat(s)]])=0,"",REVEX!$E$9)</f>
        <v>0</v>
      </c>
      <c r="AJ78" s="72" t="str">
        <f>IF(SalCommune[[#This Row],[Allocations fonctions]]="","",IF(ISNA(VLOOKUP(SalCommune[[#This Row],[Allocations fonctions]],DROPDOWN[Dropdown82],1,FALSE))=TRUE,"&lt;-- Veuillez choisir l'allocation parmis la liste déroulante.",""))</f>
        <v/>
      </c>
    </row>
    <row r="79" spans="1:36" x14ac:dyDescent="0.25">
      <c r="A79" s="72" t="str">
        <f>IF(SalCommune[[#This Row],[Statut]]="","",IF(ISNA(VLOOKUP(SalCommune[[#This Row],[Statut]],'Grille communale'!$B$3:$B$5,1,FALSE))=TRUE,"Veuillez choisir le statut parmis la liste déroulante",""))</f>
        <v/>
      </c>
      <c r="B79" s="725" t="str">
        <f>IF(SalCommune[[#This Row],[Matricule]]="","",MAX($B$7:B78)+1)</f>
        <v/>
      </c>
      <c r="C79" s="8"/>
      <c r="D79" s="8"/>
      <c r="E79" s="20"/>
      <c r="F79" s="8"/>
      <c r="G79" s="8"/>
      <c r="H79" s="9"/>
      <c r="I79" s="9"/>
      <c r="J79" s="9"/>
      <c r="K79" s="10"/>
      <c r="L79" s="10"/>
      <c r="M79" s="9"/>
      <c r="N79" s="9"/>
      <c r="O79" s="9"/>
      <c r="P7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9" s="9"/>
      <c r="R79" s="9"/>
      <c r="S79" s="9"/>
      <c r="T79" s="37"/>
      <c r="U79" s="37"/>
      <c r="V79" s="37"/>
      <c r="W79" s="37"/>
      <c r="X79" s="37"/>
      <c r="Y79" s="37"/>
      <c r="Z7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9" s="37"/>
      <c r="AB79" s="66" t="str">
        <f>IF(COUNTA(SalCommune[[#This Row],[Nom]:[heures annuelles
selon contrat(s)]])=0,"",SalCommune[[#This Row],[Total global]]-ABS(SalCommune[[#This Row],[Dont non opposable]]))</f>
        <v/>
      </c>
      <c r="AC79" s="8"/>
      <c r="AD79" s="63"/>
      <c r="AE79" s="430"/>
      <c r="AF79" s="430"/>
      <c r="AG79" s="430"/>
      <c r="AH79" s="181"/>
      <c r="AI79" s="194">
        <f>IF(COUNTA(SalCommune[[#This Row],[N°]:[heures annuelles
selon contrat(s)]])=0,"",REVEX!$E$9)</f>
        <v>0</v>
      </c>
      <c r="AJ79" s="72" t="str">
        <f>IF(SalCommune[[#This Row],[Allocations fonctions]]="","",IF(ISNA(VLOOKUP(SalCommune[[#This Row],[Allocations fonctions]],DROPDOWN[Dropdown82],1,FALSE))=TRUE,"&lt;-- Veuillez choisir l'allocation parmis la liste déroulante.",""))</f>
        <v/>
      </c>
    </row>
    <row r="80" spans="1:36" x14ac:dyDescent="0.25">
      <c r="A80" s="72" t="str">
        <f>IF(SalCommune[[#This Row],[Statut]]="","",IF(ISNA(VLOOKUP(SalCommune[[#This Row],[Statut]],'Grille communale'!$B$3:$B$5,1,FALSE))=TRUE,"Veuillez choisir le statut parmis la liste déroulante",""))</f>
        <v/>
      </c>
      <c r="B80" s="725" t="str">
        <f>IF(SalCommune[[#This Row],[Matricule]]="","",MAX($B$7:B79)+1)</f>
        <v/>
      </c>
      <c r="C80" s="8"/>
      <c r="D80" s="8"/>
      <c r="E80" s="20"/>
      <c r="F80" s="8"/>
      <c r="G80" s="8"/>
      <c r="H80" s="9"/>
      <c r="I80" s="9"/>
      <c r="J80" s="9"/>
      <c r="K80" s="10"/>
      <c r="L80" s="10"/>
      <c r="M80" s="9"/>
      <c r="N80" s="9"/>
      <c r="O80" s="9"/>
      <c r="P8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0" s="9"/>
      <c r="R80" s="9"/>
      <c r="S80" s="9"/>
      <c r="T80" s="37"/>
      <c r="U80" s="37"/>
      <c r="V80" s="37"/>
      <c r="W80" s="37"/>
      <c r="X80" s="37"/>
      <c r="Y80" s="37"/>
      <c r="Z8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0" s="37"/>
      <c r="AB80" s="66" t="str">
        <f>IF(COUNTA(SalCommune[[#This Row],[Nom]:[heures annuelles
selon contrat(s)]])=0,"",SalCommune[[#This Row],[Total global]]-ABS(SalCommune[[#This Row],[Dont non opposable]]))</f>
        <v/>
      </c>
      <c r="AC80" s="8"/>
      <c r="AD80" s="63"/>
      <c r="AE80" s="430"/>
      <c r="AF80" s="430"/>
      <c r="AG80" s="430"/>
      <c r="AH80" s="181"/>
      <c r="AI80" s="194">
        <f>IF(COUNTA(SalCommune[[#This Row],[N°]:[heures annuelles
selon contrat(s)]])=0,"",REVEX!$E$9)</f>
        <v>0</v>
      </c>
      <c r="AJ80" s="72" t="str">
        <f>IF(SalCommune[[#This Row],[Allocations fonctions]]="","",IF(ISNA(VLOOKUP(SalCommune[[#This Row],[Allocations fonctions]],DROPDOWN[Dropdown82],1,FALSE))=TRUE,"&lt;-- Veuillez choisir l'allocation parmis la liste déroulante.",""))</f>
        <v/>
      </c>
    </row>
    <row r="81" spans="1:36" x14ac:dyDescent="0.25">
      <c r="A81" s="72" t="str">
        <f>IF(SalCommune[[#This Row],[Statut]]="","",IF(ISNA(VLOOKUP(SalCommune[[#This Row],[Statut]],'Grille communale'!$B$3:$B$5,1,FALSE))=TRUE,"Veuillez choisir le statut parmis la liste déroulante",""))</f>
        <v/>
      </c>
      <c r="B81" s="725" t="str">
        <f>IF(SalCommune[[#This Row],[Matricule]]="","",MAX($B$7:B80)+1)</f>
        <v/>
      </c>
      <c r="C81" s="8"/>
      <c r="D81" s="8"/>
      <c r="E81" s="20"/>
      <c r="F81" s="8"/>
      <c r="G81" s="8"/>
      <c r="H81" s="9"/>
      <c r="I81" s="9"/>
      <c r="J81" s="9"/>
      <c r="K81" s="10"/>
      <c r="L81" s="10"/>
      <c r="M81" s="9"/>
      <c r="N81" s="9"/>
      <c r="O81" s="9"/>
      <c r="P8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1" s="9"/>
      <c r="R81" s="9"/>
      <c r="S81" s="9"/>
      <c r="T81" s="37"/>
      <c r="U81" s="37"/>
      <c r="V81" s="37"/>
      <c r="W81" s="37"/>
      <c r="X81" s="37"/>
      <c r="Y81" s="37"/>
      <c r="Z8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1" s="37"/>
      <c r="AB81" s="66" t="str">
        <f>IF(COUNTA(SalCommune[[#This Row],[Nom]:[heures annuelles
selon contrat(s)]])=0,"",SalCommune[[#This Row],[Total global]]-ABS(SalCommune[[#This Row],[Dont non opposable]]))</f>
        <v/>
      </c>
      <c r="AC81" s="8"/>
      <c r="AD81" s="63"/>
      <c r="AE81" s="430"/>
      <c r="AF81" s="430"/>
      <c r="AG81" s="430"/>
      <c r="AH81" s="181"/>
      <c r="AI81" s="194">
        <f>IF(COUNTA(SalCommune[[#This Row],[N°]:[heures annuelles
selon contrat(s)]])=0,"",REVEX!$E$9)</f>
        <v>0</v>
      </c>
      <c r="AJ81" s="72" t="str">
        <f>IF(SalCommune[[#This Row],[Allocations fonctions]]="","",IF(ISNA(VLOOKUP(SalCommune[[#This Row],[Allocations fonctions]],DROPDOWN[Dropdown82],1,FALSE))=TRUE,"&lt;-- Veuillez choisir l'allocation parmis la liste déroulante.",""))</f>
        <v/>
      </c>
    </row>
    <row r="82" spans="1:36" x14ac:dyDescent="0.25">
      <c r="A82" s="72" t="str">
        <f>IF(SalCommune[[#This Row],[Statut]]="","",IF(ISNA(VLOOKUP(SalCommune[[#This Row],[Statut]],'Grille communale'!$B$3:$B$5,1,FALSE))=TRUE,"Veuillez choisir le statut parmis la liste déroulante",""))</f>
        <v/>
      </c>
      <c r="B82" s="725" t="str">
        <f>IF(SalCommune[[#This Row],[Matricule]]="","",MAX($B$7:B81)+1)</f>
        <v/>
      </c>
      <c r="C82" s="8"/>
      <c r="D82" s="8"/>
      <c r="E82" s="20"/>
      <c r="F82" s="8"/>
      <c r="G82" s="8"/>
      <c r="H82" s="9"/>
      <c r="I82" s="9"/>
      <c r="J82" s="9"/>
      <c r="K82" s="10"/>
      <c r="L82" s="10"/>
      <c r="M82" s="9"/>
      <c r="N82" s="9"/>
      <c r="O82" s="9"/>
      <c r="P8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2" s="9"/>
      <c r="R82" s="9"/>
      <c r="S82" s="9"/>
      <c r="T82" s="37"/>
      <c r="U82" s="37"/>
      <c r="V82" s="37"/>
      <c r="W82" s="37"/>
      <c r="X82" s="37"/>
      <c r="Y82" s="37"/>
      <c r="Z8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2" s="37"/>
      <c r="AB82" s="66" t="str">
        <f>IF(COUNTA(SalCommune[[#This Row],[Nom]:[heures annuelles
selon contrat(s)]])=0,"",SalCommune[[#This Row],[Total global]]-ABS(SalCommune[[#This Row],[Dont non opposable]]))</f>
        <v/>
      </c>
      <c r="AC82" s="8"/>
      <c r="AD82" s="63"/>
      <c r="AE82" s="430"/>
      <c r="AF82" s="430"/>
      <c r="AG82" s="430"/>
      <c r="AH82" s="181"/>
      <c r="AI82" s="194">
        <f>IF(COUNTA(SalCommune[[#This Row],[N°]:[heures annuelles
selon contrat(s)]])=0,"",REVEX!$E$9)</f>
        <v>0</v>
      </c>
      <c r="AJ82" s="72" t="str">
        <f>IF(SalCommune[[#This Row],[Allocations fonctions]]="","",IF(ISNA(VLOOKUP(SalCommune[[#This Row],[Allocations fonctions]],DROPDOWN[Dropdown82],1,FALSE))=TRUE,"&lt;-- Veuillez choisir l'allocation parmis la liste déroulante.",""))</f>
        <v/>
      </c>
    </row>
    <row r="83" spans="1:36" x14ac:dyDescent="0.25">
      <c r="A83" s="72" t="str">
        <f>IF(SalCommune[[#This Row],[Statut]]="","",IF(ISNA(VLOOKUP(SalCommune[[#This Row],[Statut]],'Grille communale'!$B$3:$B$5,1,FALSE))=TRUE,"Veuillez choisir le statut parmis la liste déroulante",""))</f>
        <v/>
      </c>
      <c r="B83" s="725" t="str">
        <f>IF(SalCommune[[#This Row],[Matricule]]="","",MAX($B$7:B82)+1)</f>
        <v/>
      </c>
      <c r="C83" s="8"/>
      <c r="D83" s="8"/>
      <c r="E83" s="20"/>
      <c r="F83" s="8"/>
      <c r="G83" s="8"/>
      <c r="H83" s="9"/>
      <c r="I83" s="9"/>
      <c r="J83" s="9"/>
      <c r="K83" s="10"/>
      <c r="L83" s="10"/>
      <c r="M83" s="9"/>
      <c r="N83" s="9"/>
      <c r="O83" s="9"/>
      <c r="P8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3" s="9"/>
      <c r="R83" s="9"/>
      <c r="S83" s="9"/>
      <c r="T83" s="37"/>
      <c r="U83" s="37"/>
      <c r="V83" s="37"/>
      <c r="W83" s="37"/>
      <c r="X83" s="37"/>
      <c r="Y83" s="37"/>
      <c r="Z8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3" s="37"/>
      <c r="AB83" s="66" t="str">
        <f>IF(COUNTA(SalCommune[[#This Row],[Nom]:[heures annuelles
selon contrat(s)]])=0,"",SalCommune[[#This Row],[Total global]]-ABS(SalCommune[[#This Row],[Dont non opposable]]))</f>
        <v/>
      </c>
      <c r="AC83" s="8"/>
      <c r="AD83" s="63"/>
      <c r="AE83" s="430"/>
      <c r="AF83" s="430"/>
      <c r="AG83" s="430"/>
      <c r="AH83" s="181"/>
      <c r="AI83" s="194">
        <f>IF(COUNTA(SalCommune[[#This Row],[N°]:[heures annuelles
selon contrat(s)]])=0,"",REVEX!$E$9)</f>
        <v>0</v>
      </c>
      <c r="AJ83" s="72" t="str">
        <f>IF(SalCommune[[#This Row],[Allocations fonctions]]="","",IF(ISNA(VLOOKUP(SalCommune[[#This Row],[Allocations fonctions]],DROPDOWN[Dropdown82],1,FALSE))=TRUE,"&lt;-- Veuillez choisir l'allocation parmis la liste déroulante.",""))</f>
        <v/>
      </c>
    </row>
    <row r="84" spans="1:36" x14ac:dyDescent="0.25">
      <c r="A84" s="72" t="str">
        <f>IF(SalCommune[[#This Row],[Statut]]="","",IF(ISNA(VLOOKUP(SalCommune[[#This Row],[Statut]],'Grille communale'!$B$3:$B$5,1,FALSE))=TRUE,"Veuillez choisir le statut parmis la liste déroulante",""))</f>
        <v/>
      </c>
      <c r="B84" s="725" t="str">
        <f>IF(SalCommune[[#This Row],[Matricule]]="","",MAX($B$7:B83)+1)</f>
        <v/>
      </c>
      <c r="C84" s="8"/>
      <c r="D84" s="8"/>
      <c r="E84" s="20"/>
      <c r="F84" s="8"/>
      <c r="G84" s="8"/>
      <c r="H84" s="9"/>
      <c r="I84" s="9"/>
      <c r="J84" s="9"/>
      <c r="K84" s="10"/>
      <c r="L84" s="10"/>
      <c r="M84" s="9"/>
      <c r="N84" s="9"/>
      <c r="O84" s="9"/>
      <c r="P8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4" s="9"/>
      <c r="R84" s="9"/>
      <c r="S84" s="9"/>
      <c r="T84" s="37"/>
      <c r="U84" s="37"/>
      <c r="V84" s="37"/>
      <c r="W84" s="37"/>
      <c r="X84" s="37"/>
      <c r="Y84" s="37"/>
      <c r="Z8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4" s="37"/>
      <c r="AB84" s="66" t="str">
        <f>IF(COUNTA(SalCommune[[#This Row],[Nom]:[heures annuelles
selon contrat(s)]])=0,"",SalCommune[[#This Row],[Total global]]-ABS(SalCommune[[#This Row],[Dont non opposable]]))</f>
        <v/>
      </c>
      <c r="AC84" s="8"/>
      <c r="AD84" s="63"/>
      <c r="AE84" s="430"/>
      <c r="AF84" s="430"/>
      <c r="AG84" s="430"/>
      <c r="AH84" s="181"/>
      <c r="AI84" s="194">
        <f>IF(COUNTA(SalCommune[[#This Row],[N°]:[heures annuelles
selon contrat(s)]])=0,"",REVEX!$E$9)</f>
        <v>0</v>
      </c>
      <c r="AJ84" s="72" t="str">
        <f>IF(SalCommune[[#This Row],[Allocations fonctions]]="","",IF(ISNA(VLOOKUP(SalCommune[[#This Row],[Allocations fonctions]],DROPDOWN[Dropdown82],1,FALSE))=TRUE,"&lt;-- Veuillez choisir l'allocation parmis la liste déroulante.",""))</f>
        <v/>
      </c>
    </row>
    <row r="85" spans="1:36" x14ac:dyDescent="0.25">
      <c r="A85" s="72" t="str">
        <f>IF(SalCommune[[#This Row],[Statut]]="","",IF(ISNA(VLOOKUP(SalCommune[[#This Row],[Statut]],'Grille communale'!$B$3:$B$5,1,FALSE))=TRUE,"Veuillez choisir le statut parmis la liste déroulante",""))</f>
        <v/>
      </c>
      <c r="B85" s="725" t="str">
        <f>IF(SalCommune[[#This Row],[Matricule]]="","",MAX($B$7:B84)+1)</f>
        <v/>
      </c>
      <c r="C85" s="8"/>
      <c r="D85" s="8"/>
      <c r="E85" s="20"/>
      <c r="F85" s="8"/>
      <c r="G85" s="8"/>
      <c r="H85" s="9"/>
      <c r="I85" s="9"/>
      <c r="J85" s="9"/>
      <c r="K85" s="10"/>
      <c r="L85" s="10"/>
      <c r="M85" s="9"/>
      <c r="N85" s="9"/>
      <c r="O85" s="9"/>
      <c r="P8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5" s="9"/>
      <c r="R85" s="9"/>
      <c r="S85" s="9"/>
      <c r="T85" s="37"/>
      <c r="U85" s="37"/>
      <c r="V85" s="37"/>
      <c r="W85" s="37"/>
      <c r="X85" s="37"/>
      <c r="Y85" s="37"/>
      <c r="Z8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5" s="37"/>
      <c r="AB85" s="66" t="str">
        <f>IF(COUNTA(SalCommune[[#This Row],[Nom]:[heures annuelles
selon contrat(s)]])=0,"",SalCommune[[#This Row],[Total global]]-ABS(SalCommune[[#This Row],[Dont non opposable]]))</f>
        <v/>
      </c>
      <c r="AC85" s="8"/>
      <c r="AD85" s="63"/>
      <c r="AE85" s="430"/>
      <c r="AF85" s="430"/>
      <c r="AG85" s="430"/>
      <c r="AH85" s="181"/>
      <c r="AI85" s="194">
        <f>IF(COUNTA(SalCommune[[#This Row],[N°]:[heures annuelles
selon contrat(s)]])=0,"",REVEX!$E$9)</f>
        <v>0</v>
      </c>
      <c r="AJ85" s="72" t="str">
        <f>IF(SalCommune[[#This Row],[Allocations fonctions]]="","",IF(ISNA(VLOOKUP(SalCommune[[#This Row],[Allocations fonctions]],DROPDOWN[Dropdown82],1,FALSE))=TRUE,"&lt;-- Veuillez choisir l'allocation parmis la liste déroulante.",""))</f>
        <v/>
      </c>
    </row>
    <row r="86" spans="1:36" x14ac:dyDescent="0.25">
      <c r="A86" s="72" t="str">
        <f>IF(SalCommune[[#This Row],[Statut]]="","",IF(ISNA(VLOOKUP(SalCommune[[#This Row],[Statut]],'Grille communale'!$B$3:$B$5,1,FALSE))=TRUE,"Veuillez choisir le statut parmis la liste déroulante",""))</f>
        <v/>
      </c>
      <c r="B86" s="725" t="str">
        <f>IF(SalCommune[[#This Row],[Matricule]]="","",MAX($B$7:B85)+1)</f>
        <v/>
      </c>
      <c r="C86" s="8"/>
      <c r="D86" s="8"/>
      <c r="E86" s="20"/>
      <c r="F86" s="8"/>
      <c r="G86" s="8"/>
      <c r="H86" s="9"/>
      <c r="I86" s="9"/>
      <c r="J86" s="9"/>
      <c r="K86" s="10"/>
      <c r="L86" s="10"/>
      <c r="M86" s="9"/>
      <c r="N86" s="9"/>
      <c r="O86" s="9"/>
      <c r="P8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6" s="9"/>
      <c r="R86" s="9"/>
      <c r="S86" s="9"/>
      <c r="T86" s="37"/>
      <c r="U86" s="37"/>
      <c r="V86" s="37"/>
      <c r="W86" s="37"/>
      <c r="X86" s="37"/>
      <c r="Y86" s="37"/>
      <c r="Z8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6" s="37"/>
      <c r="AB86" s="66" t="str">
        <f>IF(COUNTA(SalCommune[[#This Row],[Nom]:[heures annuelles
selon contrat(s)]])=0,"",SalCommune[[#This Row],[Total global]]-ABS(SalCommune[[#This Row],[Dont non opposable]]))</f>
        <v/>
      </c>
      <c r="AC86" s="8"/>
      <c r="AD86" s="63"/>
      <c r="AE86" s="430"/>
      <c r="AF86" s="430"/>
      <c r="AG86" s="430"/>
      <c r="AH86" s="181"/>
      <c r="AI86" s="194">
        <f>IF(COUNTA(SalCommune[[#This Row],[N°]:[heures annuelles
selon contrat(s)]])=0,"",REVEX!$E$9)</f>
        <v>0</v>
      </c>
      <c r="AJ86" s="72" t="str">
        <f>IF(SalCommune[[#This Row],[Allocations fonctions]]="","",IF(ISNA(VLOOKUP(SalCommune[[#This Row],[Allocations fonctions]],DROPDOWN[Dropdown82],1,FALSE))=TRUE,"&lt;-- Veuillez choisir l'allocation parmis la liste déroulante.",""))</f>
        <v/>
      </c>
    </row>
    <row r="87" spans="1:36" x14ac:dyDescent="0.25">
      <c r="A87" s="72" t="str">
        <f>IF(SalCommune[[#This Row],[Statut]]="","",IF(ISNA(VLOOKUP(SalCommune[[#This Row],[Statut]],'Grille communale'!$B$3:$B$5,1,FALSE))=TRUE,"Veuillez choisir le statut parmis la liste déroulante",""))</f>
        <v/>
      </c>
      <c r="B87" s="725" t="str">
        <f>IF(SalCommune[[#This Row],[Matricule]]="","",MAX($B$7:B86)+1)</f>
        <v/>
      </c>
      <c r="C87" s="8"/>
      <c r="D87" s="8"/>
      <c r="E87" s="20"/>
      <c r="F87" s="8"/>
      <c r="G87" s="8"/>
      <c r="H87" s="9"/>
      <c r="I87" s="9"/>
      <c r="J87" s="9"/>
      <c r="K87" s="10"/>
      <c r="L87" s="10"/>
      <c r="M87" s="9"/>
      <c r="N87" s="9"/>
      <c r="O87" s="9"/>
      <c r="P8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7" s="9"/>
      <c r="R87" s="9"/>
      <c r="S87" s="9"/>
      <c r="T87" s="37"/>
      <c r="U87" s="37"/>
      <c r="V87" s="37"/>
      <c r="W87" s="37"/>
      <c r="X87" s="37"/>
      <c r="Y87" s="37"/>
      <c r="Z8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7" s="37"/>
      <c r="AB87" s="66" t="str">
        <f>IF(COUNTA(SalCommune[[#This Row],[Nom]:[heures annuelles
selon contrat(s)]])=0,"",SalCommune[[#This Row],[Total global]]-ABS(SalCommune[[#This Row],[Dont non opposable]]))</f>
        <v/>
      </c>
      <c r="AC87" s="8"/>
      <c r="AD87" s="63"/>
      <c r="AE87" s="430"/>
      <c r="AF87" s="430"/>
      <c r="AG87" s="430"/>
      <c r="AH87" s="181"/>
      <c r="AI87" s="194">
        <f>IF(COUNTA(SalCommune[[#This Row],[N°]:[heures annuelles
selon contrat(s)]])=0,"",REVEX!$E$9)</f>
        <v>0</v>
      </c>
      <c r="AJ87" s="72" t="str">
        <f>IF(SalCommune[[#This Row],[Allocations fonctions]]="","",IF(ISNA(VLOOKUP(SalCommune[[#This Row],[Allocations fonctions]],DROPDOWN[Dropdown82],1,FALSE))=TRUE,"&lt;-- Veuillez choisir l'allocation parmis la liste déroulante.",""))</f>
        <v/>
      </c>
    </row>
    <row r="88" spans="1:36" x14ac:dyDescent="0.25">
      <c r="A88" s="72" t="str">
        <f>IF(SalCommune[[#This Row],[Statut]]="","",IF(ISNA(VLOOKUP(SalCommune[[#This Row],[Statut]],'Grille communale'!$B$3:$B$5,1,FALSE))=TRUE,"Veuillez choisir le statut parmis la liste déroulante",""))</f>
        <v/>
      </c>
      <c r="B88" s="725" t="str">
        <f>IF(SalCommune[[#This Row],[Matricule]]="","",MAX($B$7:B87)+1)</f>
        <v/>
      </c>
      <c r="C88" s="8"/>
      <c r="D88" s="8"/>
      <c r="E88" s="20"/>
      <c r="F88" s="8"/>
      <c r="G88" s="8"/>
      <c r="H88" s="9"/>
      <c r="I88" s="9"/>
      <c r="J88" s="9"/>
      <c r="K88" s="10"/>
      <c r="L88" s="10"/>
      <c r="M88" s="9"/>
      <c r="N88" s="9"/>
      <c r="O88" s="9"/>
      <c r="P8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8" s="9"/>
      <c r="R88" s="9"/>
      <c r="S88" s="9"/>
      <c r="T88" s="37"/>
      <c r="U88" s="37"/>
      <c r="V88" s="37"/>
      <c r="W88" s="37"/>
      <c r="X88" s="37"/>
      <c r="Y88" s="37"/>
      <c r="Z8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8" s="37"/>
      <c r="AB88" s="66" t="str">
        <f>IF(COUNTA(SalCommune[[#This Row],[Nom]:[heures annuelles
selon contrat(s)]])=0,"",SalCommune[[#This Row],[Total global]]-ABS(SalCommune[[#This Row],[Dont non opposable]]))</f>
        <v/>
      </c>
      <c r="AC88" s="8"/>
      <c r="AD88" s="63"/>
      <c r="AE88" s="430"/>
      <c r="AF88" s="430"/>
      <c r="AG88" s="430"/>
      <c r="AH88" s="181"/>
      <c r="AI88" s="194">
        <f>IF(COUNTA(SalCommune[[#This Row],[N°]:[heures annuelles
selon contrat(s)]])=0,"",REVEX!$E$9)</f>
        <v>0</v>
      </c>
      <c r="AJ88" s="72" t="str">
        <f>IF(SalCommune[[#This Row],[Allocations fonctions]]="","",IF(ISNA(VLOOKUP(SalCommune[[#This Row],[Allocations fonctions]],DROPDOWN[Dropdown82],1,FALSE))=TRUE,"&lt;-- Veuillez choisir l'allocation parmis la liste déroulante.",""))</f>
        <v/>
      </c>
    </row>
    <row r="89" spans="1:36" x14ac:dyDescent="0.25">
      <c r="A89" s="72" t="str">
        <f>IF(SalCommune[[#This Row],[Statut]]="","",IF(ISNA(VLOOKUP(SalCommune[[#This Row],[Statut]],'Grille communale'!$B$3:$B$5,1,FALSE))=TRUE,"Veuillez choisir le statut parmis la liste déroulante",""))</f>
        <v/>
      </c>
      <c r="B89" s="725" t="str">
        <f>IF(SalCommune[[#This Row],[Matricule]]="","",MAX($B$7:B88)+1)</f>
        <v/>
      </c>
      <c r="C89" s="8"/>
      <c r="D89" s="8"/>
      <c r="E89" s="20"/>
      <c r="F89" s="8"/>
      <c r="G89" s="8"/>
      <c r="H89" s="9"/>
      <c r="I89" s="9"/>
      <c r="J89" s="9"/>
      <c r="K89" s="10"/>
      <c r="L89" s="10"/>
      <c r="M89" s="9"/>
      <c r="N89" s="9"/>
      <c r="O89" s="9"/>
      <c r="P8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89" s="9"/>
      <c r="R89" s="9"/>
      <c r="S89" s="9"/>
      <c r="T89" s="37"/>
      <c r="U89" s="37"/>
      <c r="V89" s="37"/>
      <c r="W89" s="37"/>
      <c r="X89" s="37"/>
      <c r="Y89" s="37"/>
      <c r="Z8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89" s="37"/>
      <c r="AB89" s="66" t="str">
        <f>IF(COUNTA(SalCommune[[#This Row],[Nom]:[heures annuelles
selon contrat(s)]])=0,"",SalCommune[[#This Row],[Total global]]-ABS(SalCommune[[#This Row],[Dont non opposable]]))</f>
        <v/>
      </c>
      <c r="AC89" s="8"/>
      <c r="AD89" s="63"/>
      <c r="AE89" s="430"/>
      <c r="AF89" s="430"/>
      <c r="AG89" s="430"/>
      <c r="AH89" s="181"/>
      <c r="AI89" s="194">
        <f>IF(COUNTA(SalCommune[[#This Row],[N°]:[heures annuelles
selon contrat(s)]])=0,"",REVEX!$E$9)</f>
        <v>0</v>
      </c>
      <c r="AJ89" s="72" t="str">
        <f>IF(SalCommune[[#This Row],[Allocations fonctions]]="","",IF(ISNA(VLOOKUP(SalCommune[[#This Row],[Allocations fonctions]],DROPDOWN[Dropdown82],1,FALSE))=TRUE,"&lt;-- Veuillez choisir l'allocation parmis la liste déroulante.",""))</f>
        <v/>
      </c>
    </row>
    <row r="90" spans="1:36" x14ac:dyDescent="0.25">
      <c r="A90" s="72" t="str">
        <f>IF(SalCommune[[#This Row],[Statut]]="","",IF(ISNA(VLOOKUP(SalCommune[[#This Row],[Statut]],'Grille communale'!$B$3:$B$5,1,FALSE))=TRUE,"Veuillez choisir le statut parmis la liste déroulante",""))</f>
        <v/>
      </c>
      <c r="B90" s="725" t="str">
        <f>IF(SalCommune[[#This Row],[Matricule]]="","",MAX($B$7:B89)+1)</f>
        <v/>
      </c>
      <c r="C90" s="8"/>
      <c r="D90" s="8"/>
      <c r="E90" s="20"/>
      <c r="F90" s="8"/>
      <c r="G90" s="8"/>
      <c r="H90" s="9"/>
      <c r="I90" s="9"/>
      <c r="J90" s="9"/>
      <c r="K90" s="10"/>
      <c r="L90" s="10"/>
      <c r="M90" s="9"/>
      <c r="N90" s="9"/>
      <c r="O90" s="9"/>
      <c r="P9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0" s="9"/>
      <c r="R90" s="9"/>
      <c r="S90" s="9"/>
      <c r="T90" s="37"/>
      <c r="U90" s="37"/>
      <c r="V90" s="37"/>
      <c r="W90" s="37"/>
      <c r="X90" s="37"/>
      <c r="Y90" s="37"/>
      <c r="Z9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0" s="37"/>
      <c r="AB90" s="66" t="str">
        <f>IF(COUNTA(SalCommune[[#This Row],[Nom]:[heures annuelles
selon contrat(s)]])=0,"",SalCommune[[#This Row],[Total global]]-ABS(SalCommune[[#This Row],[Dont non opposable]]))</f>
        <v/>
      </c>
      <c r="AC90" s="8"/>
      <c r="AD90" s="63"/>
      <c r="AE90" s="430"/>
      <c r="AF90" s="430"/>
      <c r="AG90" s="430"/>
      <c r="AH90" s="181"/>
      <c r="AI90" s="194">
        <f>IF(COUNTA(SalCommune[[#This Row],[N°]:[heures annuelles
selon contrat(s)]])=0,"",REVEX!$E$9)</f>
        <v>0</v>
      </c>
      <c r="AJ90" s="72" t="str">
        <f>IF(SalCommune[[#This Row],[Allocations fonctions]]="","",IF(ISNA(VLOOKUP(SalCommune[[#This Row],[Allocations fonctions]],DROPDOWN[Dropdown82],1,FALSE))=TRUE,"&lt;-- Veuillez choisir l'allocation parmis la liste déroulante.",""))</f>
        <v/>
      </c>
    </row>
    <row r="91" spans="1:36" x14ac:dyDescent="0.25">
      <c r="A91" s="72" t="str">
        <f>IF(SalCommune[[#This Row],[Statut]]="","",IF(ISNA(VLOOKUP(SalCommune[[#This Row],[Statut]],'Grille communale'!$B$3:$B$5,1,FALSE))=TRUE,"Veuillez choisir le statut parmis la liste déroulante",""))</f>
        <v/>
      </c>
      <c r="B91" s="725" t="str">
        <f>IF(SalCommune[[#This Row],[Matricule]]="","",MAX($B$7:B90)+1)</f>
        <v/>
      </c>
      <c r="C91" s="8"/>
      <c r="D91" s="8"/>
      <c r="E91" s="20"/>
      <c r="F91" s="8"/>
      <c r="G91" s="8"/>
      <c r="H91" s="9"/>
      <c r="I91" s="9"/>
      <c r="J91" s="9"/>
      <c r="K91" s="10"/>
      <c r="L91" s="10"/>
      <c r="M91" s="9"/>
      <c r="N91" s="9"/>
      <c r="O91" s="9"/>
      <c r="P9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1" s="9"/>
      <c r="R91" s="9"/>
      <c r="S91" s="9"/>
      <c r="T91" s="37"/>
      <c r="U91" s="37"/>
      <c r="V91" s="37"/>
      <c r="W91" s="37"/>
      <c r="X91" s="37"/>
      <c r="Y91" s="37"/>
      <c r="Z9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1" s="37"/>
      <c r="AB91" s="66" t="str">
        <f>IF(COUNTA(SalCommune[[#This Row],[Nom]:[heures annuelles
selon contrat(s)]])=0,"",SalCommune[[#This Row],[Total global]]-ABS(SalCommune[[#This Row],[Dont non opposable]]))</f>
        <v/>
      </c>
      <c r="AC91" s="8"/>
      <c r="AD91" s="63"/>
      <c r="AE91" s="430"/>
      <c r="AF91" s="430"/>
      <c r="AG91" s="430"/>
      <c r="AH91" s="181"/>
      <c r="AI91" s="194">
        <f>IF(COUNTA(SalCommune[[#This Row],[N°]:[heures annuelles
selon contrat(s)]])=0,"",REVEX!$E$9)</f>
        <v>0</v>
      </c>
      <c r="AJ91" s="72" t="str">
        <f>IF(SalCommune[[#This Row],[Allocations fonctions]]="","",IF(ISNA(VLOOKUP(SalCommune[[#This Row],[Allocations fonctions]],DROPDOWN[Dropdown82],1,FALSE))=TRUE,"&lt;-- Veuillez choisir l'allocation parmis la liste déroulante.",""))</f>
        <v/>
      </c>
    </row>
    <row r="92" spans="1:36" x14ac:dyDescent="0.25">
      <c r="A92" s="72" t="str">
        <f>IF(SalCommune[[#This Row],[Statut]]="","",IF(ISNA(VLOOKUP(SalCommune[[#This Row],[Statut]],'Grille communale'!$B$3:$B$5,1,FALSE))=TRUE,"Veuillez choisir le statut parmis la liste déroulante",""))</f>
        <v/>
      </c>
      <c r="B92" s="725" t="str">
        <f>IF(SalCommune[[#This Row],[Matricule]]="","",MAX($B$7:B91)+1)</f>
        <v/>
      </c>
      <c r="C92" s="8"/>
      <c r="D92" s="8"/>
      <c r="E92" s="20"/>
      <c r="F92" s="8"/>
      <c r="G92" s="8"/>
      <c r="H92" s="9"/>
      <c r="I92" s="9"/>
      <c r="J92" s="9"/>
      <c r="K92" s="10"/>
      <c r="L92" s="10"/>
      <c r="M92" s="9"/>
      <c r="N92" s="9"/>
      <c r="O92" s="9"/>
      <c r="P9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2" s="9"/>
      <c r="R92" s="9"/>
      <c r="S92" s="9"/>
      <c r="T92" s="37"/>
      <c r="U92" s="37"/>
      <c r="V92" s="37"/>
      <c r="W92" s="37"/>
      <c r="X92" s="37"/>
      <c r="Y92" s="37"/>
      <c r="Z9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2" s="37"/>
      <c r="AB92" s="66" t="str">
        <f>IF(COUNTA(SalCommune[[#This Row],[Nom]:[heures annuelles
selon contrat(s)]])=0,"",SalCommune[[#This Row],[Total global]]-ABS(SalCommune[[#This Row],[Dont non opposable]]))</f>
        <v/>
      </c>
      <c r="AC92" s="8"/>
      <c r="AD92" s="63"/>
      <c r="AE92" s="430"/>
      <c r="AF92" s="430"/>
      <c r="AG92" s="430"/>
      <c r="AH92" s="181"/>
      <c r="AI92" s="194">
        <f>IF(COUNTA(SalCommune[[#This Row],[N°]:[heures annuelles
selon contrat(s)]])=0,"",REVEX!$E$9)</f>
        <v>0</v>
      </c>
      <c r="AJ92" s="72" t="str">
        <f>IF(SalCommune[[#This Row],[Allocations fonctions]]="","",IF(ISNA(VLOOKUP(SalCommune[[#This Row],[Allocations fonctions]],DROPDOWN[Dropdown82],1,FALSE))=TRUE,"&lt;-- Veuillez choisir l'allocation parmis la liste déroulante.",""))</f>
        <v/>
      </c>
    </row>
    <row r="93" spans="1:36" x14ac:dyDescent="0.25">
      <c r="A93" s="72" t="str">
        <f>IF(SalCommune[[#This Row],[Statut]]="","",IF(ISNA(VLOOKUP(SalCommune[[#This Row],[Statut]],'Grille communale'!$B$3:$B$5,1,FALSE))=TRUE,"Veuillez choisir le statut parmis la liste déroulante",""))</f>
        <v/>
      </c>
      <c r="B93" s="725" t="str">
        <f>IF(SalCommune[[#This Row],[Matricule]]="","",MAX($B$7:B92)+1)</f>
        <v/>
      </c>
      <c r="C93" s="8"/>
      <c r="D93" s="8"/>
      <c r="E93" s="20"/>
      <c r="F93" s="8"/>
      <c r="G93" s="8"/>
      <c r="H93" s="9"/>
      <c r="I93" s="9"/>
      <c r="J93" s="9"/>
      <c r="K93" s="10"/>
      <c r="L93" s="10"/>
      <c r="M93" s="9"/>
      <c r="N93" s="9"/>
      <c r="O93" s="9"/>
      <c r="P9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3" s="9"/>
      <c r="R93" s="9"/>
      <c r="S93" s="9"/>
      <c r="T93" s="37"/>
      <c r="U93" s="37"/>
      <c r="V93" s="37"/>
      <c r="W93" s="37"/>
      <c r="X93" s="37"/>
      <c r="Y93" s="37"/>
      <c r="Z9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3" s="37"/>
      <c r="AB93" s="66" t="str">
        <f>IF(COUNTA(SalCommune[[#This Row],[Nom]:[heures annuelles
selon contrat(s)]])=0,"",SalCommune[[#This Row],[Total global]]-ABS(SalCommune[[#This Row],[Dont non opposable]]))</f>
        <v/>
      </c>
      <c r="AC93" s="8"/>
      <c r="AD93" s="63"/>
      <c r="AE93" s="430"/>
      <c r="AF93" s="430"/>
      <c r="AG93" s="430"/>
      <c r="AH93" s="181"/>
      <c r="AI93" s="194">
        <f>IF(COUNTA(SalCommune[[#This Row],[N°]:[heures annuelles
selon contrat(s)]])=0,"",REVEX!$E$9)</f>
        <v>0</v>
      </c>
      <c r="AJ93" s="72" t="str">
        <f>IF(SalCommune[[#This Row],[Allocations fonctions]]="","",IF(ISNA(VLOOKUP(SalCommune[[#This Row],[Allocations fonctions]],DROPDOWN[Dropdown82],1,FALSE))=TRUE,"&lt;-- Veuillez choisir l'allocation parmis la liste déroulante.",""))</f>
        <v/>
      </c>
    </row>
    <row r="94" spans="1:36" x14ac:dyDescent="0.25">
      <c r="A94" s="72" t="str">
        <f>IF(SalCommune[[#This Row],[Statut]]="","",IF(ISNA(VLOOKUP(SalCommune[[#This Row],[Statut]],'Grille communale'!$B$3:$B$5,1,FALSE))=TRUE,"Veuillez choisir le statut parmis la liste déroulante",""))</f>
        <v/>
      </c>
      <c r="B94" s="725" t="str">
        <f>IF(SalCommune[[#This Row],[Matricule]]="","",MAX($B$7:B93)+1)</f>
        <v/>
      </c>
      <c r="C94" s="8"/>
      <c r="D94" s="8"/>
      <c r="E94" s="20"/>
      <c r="F94" s="8"/>
      <c r="G94" s="8"/>
      <c r="H94" s="9"/>
      <c r="I94" s="9"/>
      <c r="J94" s="9"/>
      <c r="K94" s="10"/>
      <c r="L94" s="10"/>
      <c r="M94" s="9"/>
      <c r="N94" s="9"/>
      <c r="O94" s="9"/>
      <c r="P9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4" s="9"/>
      <c r="R94" s="9"/>
      <c r="S94" s="9"/>
      <c r="T94" s="37"/>
      <c r="U94" s="37"/>
      <c r="V94" s="37"/>
      <c r="W94" s="37"/>
      <c r="X94" s="37"/>
      <c r="Y94" s="37"/>
      <c r="Z9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4" s="37"/>
      <c r="AB94" s="66" t="str">
        <f>IF(COUNTA(SalCommune[[#This Row],[Nom]:[heures annuelles
selon contrat(s)]])=0,"",SalCommune[[#This Row],[Total global]]-ABS(SalCommune[[#This Row],[Dont non opposable]]))</f>
        <v/>
      </c>
      <c r="AC94" s="8"/>
      <c r="AD94" s="63"/>
      <c r="AE94" s="430"/>
      <c r="AF94" s="430"/>
      <c r="AG94" s="430"/>
      <c r="AH94" s="181"/>
      <c r="AI94" s="194">
        <f>IF(COUNTA(SalCommune[[#This Row],[N°]:[heures annuelles
selon contrat(s)]])=0,"",REVEX!$E$9)</f>
        <v>0</v>
      </c>
      <c r="AJ94" s="72" t="str">
        <f>IF(SalCommune[[#This Row],[Allocations fonctions]]="","",IF(ISNA(VLOOKUP(SalCommune[[#This Row],[Allocations fonctions]],DROPDOWN[Dropdown82],1,FALSE))=TRUE,"&lt;-- Veuillez choisir l'allocation parmis la liste déroulante.",""))</f>
        <v/>
      </c>
    </row>
    <row r="95" spans="1:36" x14ac:dyDescent="0.25">
      <c r="A95" s="72" t="str">
        <f>IF(SalCommune[[#This Row],[Statut]]="","",IF(ISNA(VLOOKUP(SalCommune[[#This Row],[Statut]],'Grille communale'!$B$3:$B$5,1,FALSE))=TRUE,"Veuillez choisir le statut parmis la liste déroulante",""))</f>
        <v/>
      </c>
      <c r="B95" s="725" t="str">
        <f>IF(SalCommune[[#This Row],[Matricule]]="","",MAX($B$7:B94)+1)</f>
        <v/>
      </c>
      <c r="C95" s="8"/>
      <c r="D95" s="8"/>
      <c r="E95" s="20"/>
      <c r="F95" s="8"/>
      <c r="G95" s="8"/>
      <c r="H95" s="9"/>
      <c r="I95" s="9"/>
      <c r="J95" s="9"/>
      <c r="K95" s="10"/>
      <c r="L95" s="10"/>
      <c r="M95" s="9"/>
      <c r="N95" s="9"/>
      <c r="O95" s="9"/>
      <c r="P9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5" s="9"/>
      <c r="R95" s="9"/>
      <c r="S95" s="9"/>
      <c r="T95" s="37"/>
      <c r="U95" s="37"/>
      <c r="V95" s="37"/>
      <c r="W95" s="37"/>
      <c r="X95" s="37"/>
      <c r="Y95" s="37"/>
      <c r="Z9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5" s="37"/>
      <c r="AB95" s="66" t="str">
        <f>IF(COUNTA(SalCommune[[#This Row],[Nom]:[heures annuelles
selon contrat(s)]])=0,"",SalCommune[[#This Row],[Total global]]-ABS(SalCommune[[#This Row],[Dont non opposable]]))</f>
        <v/>
      </c>
      <c r="AC95" s="8"/>
      <c r="AD95" s="63"/>
      <c r="AE95" s="430"/>
      <c r="AF95" s="430"/>
      <c r="AG95" s="430"/>
      <c r="AH95" s="181"/>
      <c r="AI95" s="194">
        <f>IF(COUNTA(SalCommune[[#This Row],[N°]:[heures annuelles
selon contrat(s)]])=0,"",REVEX!$E$9)</f>
        <v>0</v>
      </c>
      <c r="AJ95" s="72" t="str">
        <f>IF(SalCommune[[#This Row],[Allocations fonctions]]="","",IF(ISNA(VLOOKUP(SalCommune[[#This Row],[Allocations fonctions]],DROPDOWN[Dropdown82],1,FALSE))=TRUE,"&lt;-- Veuillez choisir l'allocation parmis la liste déroulante.",""))</f>
        <v/>
      </c>
    </row>
    <row r="96" spans="1:36" x14ac:dyDescent="0.25">
      <c r="A96" s="72" t="str">
        <f>IF(SalCommune[[#This Row],[Statut]]="","",IF(ISNA(VLOOKUP(SalCommune[[#This Row],[Statut]],'Grille communale'!$B$3:$B$5,1,FALSE))=TRUE,"Veuillez choisir le statut parmis la liste déroulante",""))</f>
        <v/>
      </c>
      <c r="B96" s="725" t="str">
        <f>IF(SalCommune[[#This Row],[Matricule]]="","",MAX($B$7:B95)+1)</f>
        <v/>
      </c>
      <c r="C96" s="8"/>
      <c r="D96" s="8"/>
      <c r="E96" s="20"/>
      <c r="F96" s="8"/>
      <c r="G96" s="8"/>
      <c r="H96" s="9"/>
      <c r="I96" s="9"/>
      <c r="J96" s="9"/>
      <c r="K96" s="10"/>
      <c r="L96" s="10"/>
      <c r="M96" s="9"/>
      <c r="N96" s="9"/>
      <c r="O96" s="9"/>
      <c r="P9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6" s="9"/>
      <c r="R96" s="9"/>
      <c r="S96" s="9"/>
      <c r="T96" s="37"/>
      <c r="U96" s="37"/>
      <c r="V96" s="37"/>
      <c r="W96" s="37"/>
      <c r="X96" s="37"/>
      <c r="Y96" s="37"/>
      <c r="Z9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6" s="37"/>
      <c r="AB96" s="66" t="str">
        <f>IF(COUNTA(SalCommune[[#This Row],[Nom]:[heures annuelles
selon contrat(s)]])=0,"",SalCommune[[#This Row],[Total global]]-ABS(SalCommune[[#This Row],[Dont non opposable]]))</f>
        <v/>
      </c>
      <c r="AC96" s="8"/>
      <c r="AD96" s="63"/>
      <c r="AE96" s="430"/>
      <c r="AF96" s="430"/>
      <c r="AG96" s="430"/>
      <c r="AH96" s="181"/>
      <c r="AI96" s="194">
        <f>IF(COUNTA(SalCommune[[#This Row],[N°]:[heures annuelles
selon contrat(s)]])=0,"",REVEX!$E$9)</f>
        <v>0</v>
      </c>
      <c r="AJ96" s="72" t="str">
        <f>IF(SalCommune[[#This Row],[Allocations fonctions]]="","",IF(ISNA(VLOOKUP(SalCommune[[#This Row],[Allocations fonctions]],DROPDOWN[Dropdown82],1,FALSE))=TRUE,"&lt;-- Veuillez choisir l'allocation parmis la liste déroulante.",""))</f>
        <v/>
      </c>
    </row>
    <row r="97" spans="1:36" x14ac:dyDescent="0.25">
      <c r="A97" s="72" t="str">
        <f>IF(SalCommune[[#This Row],[Statut]]="","",IF(ISNA(VLOOKUP(SalCommune[[#This Row],[Statut]],'Grille communale'!$B$3:$B$5,1,FALSE))=TRUE,"Veuillez choisir le statut parmis la liste déroulante",""))</f>
        <v/>
      </c>
      <c r="B97" s="725" t="str">
        <f>IF(SalCommune[[#This Row],[Matricule]]="","",MAX($B$7:B96)+1)</f>
        <v/>
      </c>
      <c r="C97" s="8"/>
      <c r="D97" s="8"/>
      <c r="E97" s="20"/>
      <c r="F97" s="8"/>
      <c r="G97" s="8"/>
      <c r="H97" s="9"/>
      <c r="I97" s="9"/>
      <c r="J97" s="9"/>
      <c r="K97" s="10"/>
      <c r="L97" s="10"/>
      <c r="M97" s="9"/>
      <c r="N97" s="9"/>
      <c r="O97" s="9"/>
      <c r="P9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7" s="9"/>
      <c r="R97" s="9"/>
      <c r="S97" s="9"/>
      <c r="T97" s="37"/>
      <c r="U97" s="37"/>
      <c r="V97" s="37"/>
      <c r="W97" s="37"/>
      <c r="X97" s="37"/>
      <c r="Y97" s="37"/>
      <c r="Z9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7" s="37"/>
      <c r="AB97" s="66" t="str">
        <f>IF(COUNTA(SalCommune[[#This Row],[Nom]:[heures annuelles
selon contrat(s)]])=0,"",SalCommune[[#This Row],[Total global]]-ABS(SalCommune[[#This Row],[Dont non opposable]]))</f>
        <v/>
      </c>
      <c r="AC97" s="8"/>
      <c r="AD97" s="63"/>
      <c r="AE97" s="430"/>
      <c r="AF97" s="430"/>
      <c r="AG97" s="430"/>
      <c r="AH97" s="181"/>
      <c r="AI97" s="194">
        <f>IF(COUNTA(SalCommune[[#This Row],[N°]:[heures annuelles
selon contrat(s)]])=0,"",REVEX!$E$9)</f>
        <v>0</v>
      </c>
      <c r="AJ97" s="72" t="str">
        <f>IF(SalCommune[[#This Row],[Allocations fonctions]]="","",IF(ISNA(VLOOKUP(SalCommune[[#This Row],[Allocations fonctions]],DROPDOWN[Dropdown82],1,FALSE))=TRUE,"&lt;-- Veuillez choisir l'allocation parmis la liste déroulante.",""))</f>
        <v/>
      </c>
    </row>
    <row r="98" spans="1:36" x14ac:dyDescent="0.25">
      <c r="A98" s="72" t="str">
        <f>IF(SalCommune[[#This Row],[Statut]]="","",IF(ISNA(VLOOKUP(SalCommune[[#This Row],[Statut]],'Grille communale'!$B$3:$B$5,1,FALSE))=TRUE,"Veuillez choisir le statut parmis la liste déroulante",""))</f>
        <v/>
      </c>
      <c r="B98" s="725" t="str">
        <f>IF(SalCommune[[#This Row],[Matricule]]="","",MAX($B$7:B97)+1)</f>
        <v/>
      </c>
      <c r="C98" s="8"/>
      <c r="D98" s="8"/>
      <c r="E98" s="20"/>
      <c r="F98" s="8"/>
      <c r="G98" s="8"/>
      <c r="H98" s="9"/>
      <c r="I98" s="9"/>
      <c r="J98" s="9"/>
      <c r="K98" s="10"/>
      <c r="L98" s="10"/>
      <c r="M98" s="9"/>
      <c r="N98" s="9"/>
      <c r="O98" s="9"/>
      <c r="P9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8" s="9"/>
      <c r="R98" s="9"/>
      <c r="S98" s="9"/>
      <c r="T98" s="37"/>
      <c r="U98" s="37"/>
      <c r="V98" s="37"/>
      <c r="W98" s="37"/>
      <c r="X98" s="37"/>
      <c r="Y98" s="37"/>
      <c r="Z9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8" s="37"/>
      <c r="AB98" s="66" t="str">
        <f>IF(COUNTA(SalCommune[[#This Row],[Nom]:[heures annuelles
selon contrat(s)]])=0,"",SalCommune[[#This Row],[Total global]]-ABS(SalCommune[[#This Row],[Dont non opposable]]))</f>
        <v/>
      </c>
      <c r="AC98" s="8"/>
      <c r="AD98" s="63"/>
      <c r="AE98" s="430"/>
      <c r="AF98" s="430"/>
      <c r="AG98" s="430"/>
      <c r="AH98" s="181"/>
      <c r="AI98" s="194">
        <f>IF(COUNTA(SalCommune[[#This Row],[N°]:[heures annuelles
selon contrat(s)]])=0,"",REVEX!$E$9)</f>
        <v>0</v>
      </c>
      <c r="AJ98" s="72" t="str">
        <f>IF(SalCommune[[#This Row],[Allocations fonctions]]="","",IF(ISNA(VLOOKUP(SalCommune[[#This Row],[Allocations fonctions]],DROPDOWN[Dropdown82],1,FALSE))=TRUE,"&lt;-- Veuillez choisir l'allocation parmis la liste déroulante.",""))</f>
        <v/>
      </c>
    </row>
    <row r="99" spans="1:36" x14ac:dyDescent="0.25">
      <c r="A99" s="72" t="str">
        <f>IF(SalCommune[[#This Row],[Statut]]="","",IF(ISNA(VLOOKUP(SalCommune[[#This Row],[Statut]],'Grille communale'!$B$3:$B$5,1,FALSE))=TRUE,"Veuillez choisir le statut parmis la liste déroulante",""))</f>
        <v/>
      </c>
      <c r="B99" s="725" t="str">
        <f>IF(SalCommune[[#This Row],[Matricule]]="","",MAX($B$7:B98)+1)</f>
        <v/>
      </c>
      <c r="C99" s="8"/>
      <c r="D99" s="8"/>
      <c r="E99" s="20"/>
      <c r="F99" s="8"/>
      <c r="G99" s="8"/>
      <c r="H99" s="9"/>
      <c r="I99" s="9"/>
      <c r="J99" s="9"/>
      <c r="K99" s="10"/>
      <c r="L99" s="10"/>
      <c r="M99" s="9"/>
      <c r="N99" s="9"/>
      <c r="O99" s="9"/>
      <c r="P9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99" s="9"/>
      <c r="R99" s="9"/>
      <c r="S99" s="9"/>
      <c r="T99" s="37"/>
      <c r="U99" s="37"/>
      <c r="V99" s="37"/>
      <c r="W99" s="37"/>
      <c r="X99" s="37"/>
      <c r="Y99" s="37"/>
      <c r="Z9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99" s="37"/>
      <c r="AB99" s="66" t="str">
        <f>IF(COUNTA(SalCommune[[#This Row],[Nom]:[heures annuelles
selon contrat(s)]])=0,"",SalCommune[[#This Row],[Total global]]-ABS(SalCommune[[#This Row],[Dont non opposable]]))</f>
        <v/>
      </c>
      <c r="AC99" s="8"/>
      <c r="AD99" s="63"/>
      <c r="AE99" s="430"/>
      <c r="AF99" s="430"/>
      <c r="AG99" s="430"/>
      <c r="AH99" s="181"/>
      <c r="AI99" s="194">
        <f>IF(COUNTA(SalCommune[[#This Row],[N°]:[heures annuelles
selon contrat(s)]])=0,"",REVEX!$E$9)</f>
        <v>0</v>
      </c>
      <c r="AJ99" s="72" t="str">
        <f>IF(SalCommune[[#This Row],[Allocations fonctions]]="","",IF(ISNA(VLOOKUP(SalCommune[[#This Row],[Allocations fonctions]],DROPDOWN[Dropdown82],1,FALSE))=TRUE,"&lt;-- Veuillez choisir l'allocation parmis la liste déroulante.",""))</f>
        <v/>
      </c>
    </row>
    <row r="100" spans="1:36" x14ac:dyDescent="0.25">
      <c r="A100" s="72" t="str">
        <f>IF(SalCommune[[#This Row],[Statut]]="","",IF(ISNA(VLOOKUP(SalCommune[[#This Row],[Statut]],'Grille communale'!$B$3:$B$5,1,FALSE))=TRUE,"Veuillez choisir le statut parmis la liste déroulante",""))</f>
        <v/>
      </c>
      <c r="B100" s="725" t="str">
        <f>IF(SalCommune[[#This Row],[Matricule]]="","",MAX($B$7:B99)+1)</f>
        <v/>
      </c>
      <c r="C100" s="8"/>
      <c r="D100" s="8"/>
      <c r="E100" s="20"/>
      <c r="F100" s="8"/>
      <c r="G100" s="8"/>
      <c r="H100" s="9"/>
      <c r="I100" s="9"/>
      <c r="J100" s="9"/>
      <c r="K100" s="10"/>
      <c r="L100" s="10"/>
      <c r="M100" s="9"/>
      <c r="N100" s="9"/>
      <c r="O100" s="9"/>
      <c r="P10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0" s="9"/>
      <c r="R100" s="9"/>
      <c r="S100" s="9"/>
      <c r="T100" s="37"/>
      <c r="U100" s="37"/>
      <c r="V100" s="37"/>
      <c r="W100" s="37"/>
      <c r="X100" s="37"/>
      <c r="Y100" s="37"/>
      <c r="Z10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0" s="37"/>
      <c r="AB100" s="66" t="str">
        <f>IF(COUNTA(SalCommune[[#This Row],[Nom]:[heures annuelles
selon contrat(s)]])=0,"",SalCommune[[#This Row],[Total global]]-ABS(SalCommune[[#This Row],[Dont non opposable]]))</f>
        <v/>
      </c>
      <c r="AC100" s="8"/>
      <c r="AD100" s="63"/>
      <c r="AE100" s="430"/>
      <c r="AF100" s="430"/>
      <c r="AG100" s="430"/>
      <c r="AH100" s="181"/>
      <c r="AI100" s="194">
        <f>IF(COUNTA(SalCommune[[#This Row],[N°]:[heures annuelles
selon contrat(s)]])=0,"",REVEX!$E$9)</f>
        <v>0</v>
      </c>
      <c r="AJ100" s="72" t="str">
        <f>IF(SalCommune[[#This Row],[Allocations fonctions]]="","",IF(ISNA(VLOOKUP(SalCommune[[#This Row],[Allocations fonctions]],DROPDOWN[Dropdown82],1,FALSE))=TRUE,"&lt;-- Veuillez choisir l'allocation parmis la liste déroulante.",""))</f>
        <v/>
      </c>
    </row>
    <row r="101" spans="1:36" x14ac:dyDescent="0.25">
      <c r="A101" s="72" t="str">
        <f>IF(SalCommune[[#This Row],[Statut]]="","",IF(ISNA(VLOOKUP(SalCommune[[#This Row],[Statut]],'Grille communale'!$B$3:$B$5,1,FALSE))=TRUE,"Veuillez choisir le statut parmis la liste déroulante",""))</f>
        <v/>
      </c>
      <c r="B101" s="725" t="str">
        <f>IF(SalCommune[[#This Row],[Matricule]]="","",MAX($B$7:B100)+1)</f>
        <v/>
      </c>
      <c r="C101" s="8"/>
      <c r="D101" s="8"/>
      <c r="E101" s="20"/>
      <c r="F101" s="8"/>
      <c r="G101" s="8"/>
      <c r="H101" s="9"/>
      <c r="I101" s="9"/>
      <c r="J101" s="9"/>
      <c r="K101" s="10"/>
      <c r="L101" s="10"/>
      <c r="M101" s="9"/>
      <c r="N101" s="9"/>
      <c r="O101" s="9"/>
      <c r="P10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1" s="9"/>
      <c r="R101" s="9"/>
      <c r="S101" s="9"/>
      <c r="T101" s="37"/>
      <c r="U101" s="37"/>
      <c r="V101" s="37"/>
      <c r="W101" s="37"/>
      <c r="X101" s="37"/>
      <c r="Y101" s="37"/>
      <c r="Z10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1" s="37"/>
      <c r="AB101" s="66" t="str">
        <f>IF(COUNTA(SalCommune[[#This Row],[Nom]:[heures annuelles
selon contrat(s)]])=0,"",SalCommune[[#This Row],[Total global]]-ABS(SalCommune[[#This Row],[Dont non opposable]]))</f>
        <v/>
      </c>
      <c r="AC101" s="8"/>
      <c r="AD101" s="63"/>
      <c r="AE101" s="430"/>
      <c r="AF101" s="430"/>
      <c r="AG101" s="430"/>
      <c r="AH101" s="181"/>
      <c r="AI101" s="194">
        <f>IF(COUNTA(SalCommune[[#This Row],[N°]:[heures annuelles
selon contrat(s)]])=0,"",REVEX!$E$9)</f>
        <v>0</v>
      </c>
      <c r="AJ101" s="72" t="str">
        <f>IF(SalCommune[[#This Row],[Allocations fonctions]]="","",IF(ISNA(VLOOKUP(SalCommune[[#This Row],[Allocations fonctions]],DROPDOWN[Dropdown82],1,FALSE))=TRUE,"&lt;-- Veuillez choisir l'allocation parmis la liste déroulante.",""))</f>
        <v/>
      </c>
    </row>
    <row r="102" spans="1:36" x14ac:dyDescent="0.25">
      <c r="A102" s="72" t="str">
        <f>IF(SalCommune[[#This Row],[Statut]]="","",IF(ISNA(VLOOKUP(SalCommune[[#This Row],[Statut]],'Grille communale'!$B$3:$B$5,1,FALSE))=TRUE,"Veuillez choisir le statut parmis la liste déroulante",""))</f>
        <v/>
      </c>
      <c r="B102" s="725" t="str">
        <f>IF(SalCommune[[#This Row],[Matricule]]="","",MAX($B$7:B101)+1)</f>
        <v/>
      </c>
      <c r="C102" s="8"/>
      <c r="D102" s="8"/>
      <c r="E102" s="20"/>
      <c r="F102" s="8"/>
      <c r="G102" s="8"/>
      <c r="H102" s="9"/>
      <c r="I102" s="9"/>
      <c r="J102" s="9"/>
      <c r="K102" s="10"/>
      <c r="L102" s="10"/>
      <c r="M102" s="9"/>
      <c r="N102" s="9"/>
      <c r="O102" s="9"/>
      <c r="P10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2" s="9"/>
      <c r="R102" s="9"/>
      <c r="S102" s="9"/>
      <c r="T102" s="37"/>
      <c r="U102" s="37"/>
      <c r="V102" s="37"/>
      <c r="W102" s="37"/>
      <c r="X102" s="37"/>
      <c r="Y102" s="37"/>
      <c r="Z10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2" s="37"/>
      <c r="AB102" s="66" t="str">
        <f>IF(COUNTA(SalCommune[[#This Row],[Nom]:[heures annuelles
selon contrat(s)]])=0,"",SalCommune[[#This Row],[Total global]]-ABS(SalCommune[[#This Row],[Dont non opposable]]))</f>
        <v/>
      </c>
      <c r="AC102" s="8"/>
      <c r="AD102" s="63"/>
      <c r="AE102" s="430"/>
      <c r="AF102" s="430"/>
      <c r="AG102" s="430"/>
      <c r="AH102" s="181"/>
      <c r="AI102" s="194">
        <f>IF(COUNTA(SalCommune[[#This Row],[N°]:[heures annuelles
selon contrat(s)]])=0,"",REVEX!$E$9)</f>
        <v>0</v>
      </c>
      <c r="AJ102" s="72" t="str">
        <f>IF(SalCommune[[#This Row],[Allocations fonctions]]="","",IF(ISNA(VLOOKUP(SalCommune[[#This Row],[Allocations fonctions]],DROPDOWN[Dropdown82],1,FALSE))=TRUE,"&lt;-- Veuillez choisir l'allocation parmis la liste déroulante.",""))</f>
        <v/>
      </c>
    </row>
    <row r="103" spans="1:36" x14ac:dyDescent="0.25">
      <c r="A103" s="72" t="str">
        <f>IF(SalCommune[[#This Row],[Statut]]="","",IF(ISNA(VLOOKUP(SalCommune[[#This Row],[Statut]],'Grille communale'!$B$3:$B$5,1,FALSE))=TRUE,"Veuillez choisir le statut parmis la liste déroulante",""))</f>
        <v/>
      </c>
      <c r="B103" s="725" t="str">
        <f>IF(SalCommune[[#This Row],[Matricule]]="","",MAX($B$7:B102)+1)</f>
        <v/>
      </c>
      <c r="C103" s="8"/>
      <c r="D103" s="8"/>
      <c r="E103" s="20"/>
      <c r="F103" s="8"/>
      <c r="G103" s="8"/>
      <c r="H103" s="9"/>
      <c r="I103" s="9"/>
      <c r="J103" s="9"/>
      <c r="K103" s="10"/>
      <c r="L103" s="10"/>
      <c r="M103" s="9"/>
      <c r="N103" s="9"/>
      <c r="O103" s="9"/>
      <c r="P10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3" s="9"/>
      <c r="R103" s="9"/>
      <c r="S103" s="9"/>
      <c r="T103" s="37"/>
      <c r="U103" s="37"/>
      <c r="V103" s="37"/>
      <c r="W103" s="37"/>
      <c r="X103" s="37"/>
      <c r="Y103" s="37"/>
      <c r="Z10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3" s="37"/>
      <c r="AB103" s="66" t="str">
        <f>IF(COUNTA(SalCommune[[#This Row],[Nom]:[heures annuelles
selon contrat(s)]])=0,"",SalCommune[[#This Row],[Total global]]-ABS(SalCommune[[#This Row],[Dont non opposable]]))</f>
        <v/>
      </c>
      <c r="AC103" s="8"/>
      <c r="AD103" s="63"/>
      <c r="AE103" s="430"/>
      <c r="AF103" s="430"/>
      <c r="AG103" s="430"/>
      <c r="AH103" s="181"/>
      <c r="AI103" s="194">
        <f>IF(COUNTA(SalCommune[[#This Row],[N°]:[heures annuelles
selon contrat(s)]])=0,"",REVEX!$E$9)</f>
        <v>0</v>
      </c>
      <c r="AJ103" s="72" t="str">
        <f>IF(SalCommune[[#This Row],[Allocations fonctions]]="","",IF(ISNA(VLOOKUP(SalCommune[[#This Row],[Allocations fonctions]],DROPDOWN[Dropdown82],1,FALSE))=TRUE,"&lt;-- Veuillez choisir l'allocation parmis la liste déroulante.",""))</f>
        <v/>
      </c>
    </row>
    <row r="104" spans="1:36" x14ac:dyDescent="0.25">
      <c r="A104" s="72" t="str">
        <f>IF(SalCommune[[#This Row],[Statut]]="","",IF(ISNA(VLOOKUP(SalCommune[[#This Row],[Statut]],'Grille communale'!$B$3:$B$5,1,FALSE))=TRUE,"Veuillez choisir le statut parmis la liste déroulante",""))</f>
        <v/>
      </c>
      <c r="B104" s="725" t="str">
        <f>IF(SalCommune[[#This Row],[Matricule]]="","",MAX($B$7:B103)+1)</f>
        <v/>
      </c>
      <c r="C104" s="8"/>
      <c r="D104" s="8"/>
      <c r="E104" s="20"/>
      <c r="F104" s="8"/>
      <c r="G104" s="8"/>
      <c r="H104" s="9"/>
      <c r="I104" s="9"/>
      <c r="J104" s="9"/>
      <c r="K104" s="10"/>
      <c r="L104" s="10"/>
      <c r="M104" s="9"/>
      <c r="N104" s="9"/>
      <c r="O104" s="9"/>
      <c r="P10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4" s="9"/>
      <c r="R104" s="9"/>
      <c r="S104" s="9"/>
      <c r="T104" s="37"/>
      <c r="U104" s="37"/>
      <c r="V104" s="37"/>
      <c r="W104" s="37"/>
      <c r="X104" s="37"/>
      <c r="Y104" s="37"/>
      <c r="Z10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4" s="37"/>
      <c r="AB104" s="66" t="str">
        <f>IF(COUNTA(SalCommune[[#This Row],[Nom]:[heures annuelles
selon contrat(s)]])=0,"",SalCommune[[#This Row],[Total global]]-ABS(SalCommune[[#This Row],[Dont non opposable]]))</f>
        <v/>
      </c>
      <c r="AC104" s="8"/>
      <c r="AD104" s="63"/>
      <c r="AE104" s="430"/>
      <c r="AF104" s="430"/>
      <c r="AG104" s="430"/>
      <c r="AH104" s="181"/>
      <c r="AI104" s="194">
        <f>IF(COUNTA(SalCommune[[#This Row],[N°]:[heures annuelles
selon contrat(s)]])=0,"",REVEX!$E$9)</f>
        <v>0</v>
      </c>
      <c r="AJ104" s="72" t="str">
        <f>IF(SalCommune[[#This Row],[Allocations fonctions]]="","",IF(ISNA(VLOOKUP(SalCommune[[#This Row],[Allocations fonctions]],DROPDOWN[Dropdown82],1,FALSE))=TRUE,"&lt;-- Veuillez choisir l'allocation parmis la liste déroulante.",""))</f>
        <v/>
      </c>
    </row>
    <row r="105" spans="1:36" x14ac:dyDescent="0.25">
      <c r="A105" s="72" t="str">
        <f>IF(SalCommune[[#This Row],[Statut]]="","",IF(ISNA(VLOOKUP(SalCommune[[#This Row],[Statut]],'Grille communale'!$B$3:$B$5,1,FALSE))=TRUE,"Veuillez choisir le statut parmis la liste déroulante",""))</f>
        <v/>
      </c>
      <c r="B105" s="725" t="str">
        <f>IF(SalCommune[[#This Row],[Matricule]]="","",MAX($B$7:B104)+1)</f>
        <v/>
      </c>
      <c r="C105" s="8"/>
      <c r="D105" s="8"/>
      <c r="E105" s="20"/>
      <c r="F105" s="8"/>
      <c r="G105" s="8"/>
      <c r="H105" s="9"/>
      <c r="I105" s="9"/>
      <c r="J105" s="9"/>
      <c r="K105" s="10"/>
      <c r="L105" s="10"/>
      <c r="M105" s="9"/>
      <c r="N105" s="9"/>
      <c r="O105" s="9"/>
      <c r="P10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5" s="9"/>
      <c r="R105" s="9"/>
      <c r="S105" s="9"/>
      <c r="T105" s="37"/>
      <c r="U105" s="37"/>
      <c r="V105" s="37"/>
      <c r="W105" s="37"/>
      <c r="X105" s="37"/>
      <c r="Y105" s="37"/>
      <c r="Z10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5" s="37"/>
      <c r="AB105" s="66" t="str">
        <f>IF(COUNTA(SalCommune[[#This Row],[Nom]:[heures annuelles
selon contrat(s)]])=0,"",SalCommune[[#This Row],[Total global]]-ABS(SalCommune[[#This Row],[Dont non opposable]]))</f>
        <v/>
      </c>
      <c r="AC105" s="8"/>
      <c r="AD105" s="63"/>
      <c r="AE105" s="430"/>
      <c r="AF105" s="430"/>
      <c r="AG105" s="430"/>
      <c r="AH105" s="181"/>
      <c r="AI105" s="194">
        <f>IF(COUNTA(SalCommune[[#This Row],[N°]:[heures annuelles
selon contrat(s)]])=0,"",REVEX!$E$9)</f>
        <v>0</v>
      </c>
      <c r="AJ105" s="72" t="str">
        <f>IF(SalCommune[[#This Row],[Allocations fonctions]]="","",IF(ISNA(VLOOKUP(SalCommune[[#This Row],[Allocations fonctions]],DROPDOWN[Dropdown82],1,FALSE))=TRUE,"&lt;-- Veuillez choisir l'allocation parmis la liste déroulante.",""))</f>
        <v/>
      </c>
    </row>
    <row r="106" spans="1:36" x14ac:dyDescent="0.25">
      <c r="A106" s="72" t="str">
        <f>IF(SalCommune[[#This Row],[Statut]]="","",IF(ISNA(VLOOKUP(SalCommune[[#This Row],[Statut]],'Grille communale'!$B$3:$B$5,1,FALSE))=TRUE,"Veuillez choisir le statut parmis la liste déroulante",""))</f>
        <v/>
      </c>
      <c r="B106" s="725" t="str">
        <f>IF(SalCommune[[#This Row],[Matricule]]="","",MAX($B$7:B105)+1)</f>
        <v/>
      </c>
      <c r="C106" s="8"/>
      <c r="D106" s="8"/>
      <c r="E106" s="20"/>
      <c r="F106" s="8"/>
      <c r="G106" s="8"/>
      <c r="H106" s="9"/>
      <c r="I106" s="9"/>
      <c r="J106" s="9"/>
      <c r="K106" s="10"/>
      <c r="L106" s="10"/>
      <c r="M106" s="9"/>
      <c r="N106" s="9"/>
      <c r="O106" s="9"/>
      <c r="P10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6" s="9"/>
      <c r="R106" s="9"/>
      <c r="S106" s="9"/>
      <c r="T106" s="37"/>
      <c r="U106" s="37"/>
      <c r="V106" s="37"/>
      <c r="W106" s="37"/>
      <c r="X106" s="37"/>
      <c r="Y106" s="37"/>
      <c r="Z10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6" s="37"/>
      <c r="AB106" s="66" t="str">
        <f>IF(COUNTA(SalCommune[[#This Row],[Nom]:[heures annuelles
selon contrat(s)]])=0,"",SalCommune[[#This Row],[Total global]]-ABS(SalCommune[[#This Row],[Dont non opposable]]))</f>
        <v/>
      </c>
      <c r="AC106" s="8"/>
      <c r="AD106" s="63"/>
      <c r="AE106" s="430"/>
      <c r="AF106" s="430"/>
      <c r="AG106" s="430"/>
      <c r="AH106" s="181"/>
      <c r="AI106" s="194">
        <f>IF(COUNTA(SalCommune[[#This Row],[N°]:[heures annuelles
selon contrat(s)]])=0,"",REVEX!$E$9)</f>
        <v>0</v>
      </c>
      <c r="AJ106" s="72" t="str">
        <f>IF(SalCommune[[#This Row],[Allocations fonctions]]="","",IF(ISNA(VLOOKUP(SalCommune[[#This Row],[Allocations fonctions]],DROPDOWN[Dropdown82],1,FALSE))=TRUE,"&lt;-- Veuillez choisir l'allocation parmis la liste déroulante.",""))</f>
        <v/>
      </c>
    </row>
    <row r="107" spans="1:36" x14ac:dyDescent="0.25">
      <c r="A107" s="72" t="str">
        <f>IF(SalCommune[[#This Row],[Statut]]="","",IF(ISNA(VLOOKUP(SalCommune[[#This Row],[Statut]],'Grille communale'!$B$3:$B$5,1,FALSE))=TRUE,"Veuillez choisir le statut parmis la liste déroulante",""))</f>
        <v/>
      </c>
      <c r="B107" s="725" t="str">
        <f>IF(SalCommune[[#This Row],[Matricule]]="","",MAX($B$7:B106)+1)</f>
        <v/>
      </c>
      <c r="C107" s="8"/>
      <c r="D107" s="8"/>
      <c r="E107" s="20"/>
      <c r="F107" s="8"/>
      <c r="G107" s="8"/>
      <c r="H107" s="9"/>
      <c r="I107" s="9"/>
      <c r="J107" s="9"/>
      <c r="K107" s="10"/>
      <c r="L107" s="10"/>
      <c r="M107" s="9"/>
      <c r="N107" s="9"/>
      <c r="O107" s="9"/>
      <c r="P10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7" s="9"/>
      <c r="R107" s="9"/>
      <c r="S107" s="9"/>
      <c r="T107" s="37"/>
      <c r="U107" s="37"/>
      <c r="V107" s="37"/>
      <c r="W107" s="37"/>
      <c r="X107" s="37"/>
      <c r="Y107" s="37"/>
      <c r="Z10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7" s="37"/>
      <c r="AB107" s="66" t="str">
        <f>IF(COUNTA(SalCommune[[#This Row],[Nom]:[heures annuelles
selon contrat(s)]])=0,"",SalCommune[[#This Row],[Total global]]-ABS(SalCommune[[#This Row],[Dont non opposable]]))</f>
        <v/>
      </c>
      <c r="AC107" s="8"/>
      <c r="AD107" s="63"/>
      <c r="AE107" s="430"/>
      <c r="AF107" s="430"/>
      <c r="AG107" s="430"/>
      <c r="AH107" s="181"/>
      <c r="AI107" s="194">
        <f>IF(COUNTA(SalCommune[[#This Row],[N°]:[heures annuelles
selon contrat(s)]])=0,"",REVEX!$E$9)</f>
        <v>0</v>
      </c>
      <c r="AJ107" s="72" t="str">
        <f>IF(SalCommune[[#This Row],[Allocations fonctions]]="","",IF(ISNA(VLOOKUP(SalCommune[[#This Row],[Allocations fonctions]],DROPDOWN[Dropdown82],1,FALSE))=TRUE,"&lt;-- Veuillez choisir l'allocation parmis la liste déroulante.",""))</f>
        <v/>
      </c>
    </row>
    <row r="108" spans="1:36" x14ac:dyDescent="0.25">
      <c r="A108" s="72" t="str">
        <f>IF(SalCommune[[#This Row],[Statut]]="","",IF(ISNA(VLOOKUP(SalCommune[[#This Row],[Statut]],'Grille communale'!$B$3:$B$5,1,FALSE))=TRUE,"Veuillez choisir le statut parmis la liste déroulante",""))</f>
        <v/>
      </c>
      <c r="B108" s="725" t="str">
        <f>IF(SalCommune[[#This Row],[Matricule]]="","",MAX($B$7:B107)+1)</f>
        <v/>
      </c>
      <c r="C108" s="8"/>
      <c r="D108" s="8"/>
      <c r="E108" s="20"/>
      <c r="F108" s="8"/>
      <c r="G108" s="8"/>
      <c r="H108" s="9"/>
      <c r="I108" s="9"/>
      <c r="J108" s="9"/>
      <c r="K108" s="10"/>
      <c r="L108" s="10"/>
      <c r="M108" s="9"/>
      <c r="N108" s="9"/>
      <c r="O108" s="9"/>
      <c r="P10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8" s="9"/>
      <c r="R108" s="9"/>
      <c r="S108" s="9"/>
      <c r="T108" s="37"/>
      <c r="U108" s="37"/>
      <c r="V108" s="37"/>
      <c r="W108" s="37"/>
      <c r="X108" s="37"/>
      <c r="Y108" s="37"/>
      <c r="Z10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8" s="37"/>
      <c r="AB108" s="66" t="str">
        <f>IF(COUNTA(SalCommune[[#This Row],[Nom]:[heures annuelles
selon contrat(s)]])=0,"",SalCommune[[#This Row],[Total global]]-ABS(SalCommune[[#This Row],[Dont non opposable]]))</f>
        <v/>
      </c>
      <c r="AC108" s="8"/>
      <c r="AD108" s="63"/>
      <c r="AE108" s="430"/>
      <c r="AF108" s="430"/>
      <c r="AG108" s="430"/>
      <c r="AH108" s="181"/>
      <c r="AI108" s="194">
        <f>IF(COUNTA(SalCommune[[#This Row],[N°]:[heures annuelles
selon contrat(s)]])=0,"",REVEX!$E$9)</f>
        <v>0</v>
      </c>
      <c r="AJ108" s="72" t="str">
        <f>IF(SalCommune[[#This Row],[Allocations fonctions]]="","",IF(ISNA(VLOOKUP(SalCommune[[#This Row],[Allocations fonctions]],DROPDOWN[Dropdown82],1,FALSE))=TRUE,"&lt;-- Veuillez choisir l'allocation parmis la liste déroulante.",""))</f>
        <v/>
      </c>
    </row>
    <row r="109" spans="1:36" x14ac:dyDescent="0.25">
      <c r="A109" s="72" t="str">
        <f>IF(SalCommune[[#This Row],[Statut]]="","",IF(ISNA(VLOOKUP(SalCommune[[#This Row],[Statut]],'Grille communale'!$B$3:$B$5,1,FALSE))=TRUE,"Veuillez choisir le statut parmis la liste déroulante",""))</f>
        <v/>
      </c>
      <c r="B109" s="725" t="str">
        <f>IF(SalCommune[[#This Row],[Matricule]]="","",MAX($B$7:B108)+1)</f>
        <v/>
      </c>
      <c r="C109" s="8"/>
      <c r="D109" s="8"/>
      <c r="E109" s="20"/>
      <c r="F109" s="8"/>
      <c r="G109" s="8"/>
      <c r="H109" s="9"/>
      <c r="I109" s="9"/>
      <c r="J109" s="9"/>
      <c r="K109" s="10"/>
      <c r="L109" s="10"/>
      <c r="M109" s="9"/>
      <c r="N109" s="9"/>
      <c r="O109" s="9"/>
      <c r="P10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09" s="9"/>
      <c r="R109" s="9"/>
      <c r="S109" s="9"/>
      <c r="T109" s="37"/>
      <c r="U109" s="37"/>
      <c r="V109" s="37"/>
      <c r="W109" s="37"/>
      <c r="X109" s="37"/>
      <c r="Y109" s="37"/>
      <c r="Z10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09" s="37"/>
      <c r="AB109" s="66" t="str">
        <f>IF(COUNTA(SalCommune[[#This Row],[Nom]:[heures annuelles
selon contrat(s)]])=0,"",SalCommune[[#This Row],[Total global]]-ABS(SalCommune[[#This Row],[Dont non opposable]]))</f>
        <v/>
      </c>
      <c r="AC109" s="8"/>
      <c r="AD109" s="63"/>
      <c r="AE109" s="430"/>
      <c r="AF109" s="430"/>
      <c r="AG109" s="430"/>
      <c r="AH109" s="181"/>
      <c r="AI109" s="194">
        <f>IF(COUNTA(SalCommune[[#This Row],[N°]:[heures annuelles
selon contrat(s)]])=0,"",REVEX!$E$9)</f>
        <v>0</v>
      </c>
      <c r="AJ109" s="72" t="str">
        <f>IF(SalCommune[[#This Row],[Allocations fonctions]]="","",IF(ISNA(VLOOKUP(SalCommune[[#This Row],[Allocations fonctions]],DROPDOWN[Dropdown82],1,FALSE))=TRUE,"&lt;-- Veuillez choisir l'allocation parmis la liste déroulante.",""))</f>
        <v/>
      </c>
    </row>
    <row r="110" spans="1:36" x14ac:dyDescent="0.25">
      <c r="A110" s="72" t="str">
        <f>IF(SalCommune[[#This Row],[Statut]]="","",IF(ISNA(VLOOKUP(SalCommune[[#This Row],[Statut]],'Grille communale'!$B$3:$B$5,1,FALSE))=TRUE,"Veuillez choisir le statut parmis la liste déroulante",""))</f>
        <v/>
      </c>
      <c r="B110" s="725" t="str">
        <f>IF(SalCommune[[#This Row],[Matricule]]="","",MAX($B$7:B109)+1)</f>
        <v/>
      </c>
      <c r="C110" s="8"/>
      <c r="D110" s="8"/>
      <c r="E110" s="20"/>
      <c r="F110" s="8"/>
      <c r="G110" s="8"/>
      <c r="H110" s="9"/>
      <c r="I110" s="9"/>
      <c r="J110" s="9"/>
      <c r="K110" s="10"/>
      <c r="L110" s="10"/>
      <c r="M110" s="9"/>
      <c r="N110" s="9"/>
      <c r="O110" s="9"/>
      <c r="P11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0" s="9"/>
      <c r="R110" s="9"/>
      <c r="S110" s="9"/>
      <c r="T110" s="37"/>
      <c r="U110" s="37"/>
      <c r="V110" s="37"/>
      <c r="W110" s="37"/>
      <c r="X110" s="37"/>
      <c r="Y110" s="37"/>
      <c r="Z11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0" s="37"/>
      <c r="AB110" s="66" t="str">
        <f>IF(COUNTA(SalCommune[[#This Row],[Nom]:[heures annuelles
selon contrat(s)]])=0,"",SalCommune[[#This Row],[Total global]]-ABS(SalCommune[[#This Row],[Dont non opposable]]))</f>
        <v/>
      </c>
      <c r="AC110" s="8"/>
      <c r="AD110" s="63"/>
      <c r="AE110" s="430"/>
      <c r="AF110" s="430"/>
      <c r="AG110" s="430"/>
      <c r="AH110" s="181"/>
      <c r="AI110" s="194">
        <f>IF(COUNTA(SalCommune[[#This Row],[N°]:[heures annuelles
selon contrat(s)]])=0,"",REVEX!$E$9)</f>
        <v>0</v>
      </c>
      <c r="AJ110" s="72" t="str">
        <f>IF(SalCommune[[#This Row],[Allocations fonctions]]="","",IF(ISNA(VLOOKUP(SalCommune[[#This Row],[Allocations fonctions]],DROPDOWN[Dropdown82],1,FALSE))=TRUE,"&lt;-- Veuillez choisir l'allocation parmis la liste déroulante.",""))</f>
        <v/>
      </c>
    </row>
    <row r="111" spans="1:36" x14ac:dyDescent="0.25">
      <c r="A111" s="72" t="str">
        <f>IF(SalCommune[[#This Row],[Statut]]="","",IF(ISNA(VLOOKUP(SalCommune[[#This Row],[Statut]],'Grille communale'!$B$3:$B$5,1,FALSE))=TRUE,"Veuillez choisir le statut parmis la liste déroulante",""))</f>
        <v/>
      </c>
      <c r="B111" s="725" t="str">
        <f>IF(SalCommune[[#This Row],[Matricule]]="","",MAX($B$7:B110)+1)</f>
        <v/>
      </c>
      <c r="C111" s="8"/>
      <c r="D111" s="8"/>
      <c r="E111" s="20"/>
      <c r="F111" s="8"/>
      <c r="G111" s="8"/>
      <c r="H111" s="9"/>
      <c r="I111" s="9"/>
      <c r="J111" s="9"/>
      <c r="K111" s="10"/>
      <c r="L111" s="10"/>
      <c r="M111" s="9"/>
      <c r="N111" s="9"/>
      <c r="O111" s="9"/>
      <c r="P11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1" s="9"/>
      <c r="R111" s="9"/>
      <c r="S111" s="9"/>
      <c r="T111" s="37"/>
      <c r="U111" s="37"/>
      <c r="V111" s="37"/>
      <c r="W111" s="37"/>
      <c r="X111" s="37"/>
      <c r="Y111" s="37"/>
      <c r="Z11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1" s="37"/>
      <c r="AB111" s="66" t="str">
        <f>IF(COUNTA(SalCommune[[#This Row],[Nom]:[heures annuelles
selon contrat(s)]])=0,"",SalCommune[[#This Row],[Total global]]-ABS(SalCommune[[#This Row],[Dont non opposable]]))</f>
        <v/>
      </c>
      <c r="AC111" s="8"/>
      <c r="AD111" s="63"/>
      <c r="AE111" s="430"/>
      <c r="AF111" s="430"/>
      <c r="AG111" s="430"/>
      <c r="AH111" s="181"/>
      <c r="AI111" s="194">
        <f>IF(COUNTA(SalCommune[[#This Row],[N°]:[heures annuelles
selon contrat(s)]])=0,"",REVEX!$E$9)</f>
        <v>0</v>
      </c>
      <c r="AJ111" s="72" t="str">
        <f>IF(SalCommune[[#This Row],[Allocations fonctions]]="","",IF(ISNA(VLOOKUP(SalCommune[[#This Row],[Allocations fonctions]],DROPDOWN[Dropdown82],1,FALSE))=TRUE,"&lt;-- Veuillez choisir l'allocation parmis la liste déroulante.",""))</f>
        <v/>
      </c>
    </row>
    <row r="112" spans="1:36" x14ac:dyDescent="0.25">
      <c r="A112" s="72" t="str">
        <f>IF(SalCommune[[#This Row],[Statut]]="","",IF(ISNA(VLOOKUP(SalCommune[[#This Row],[Statut]],'Grille communale'!$B$3:$B$5,1,FALSE))=TRUE,"Veuillez choisir le statut parmis la liste déroulante",""))</f>
        <v/>
      </c>
      <c r="B112" s="725" t="str">
        <f>IF(SalCommune[[#This Row],[Matricule]]="","",MAX($B$7:B111)+1)</f>
        <v/>
      </c>
      <c r="C112" s="8"/>
      <c r="D112" s="8"/>
      <c r="E112" s="20"/>
      <c r="F112" s="8"/>
      <c r="G112" s="8"/>
      <c r="H112" s="9"/>
      <c r="I112" s="9"/>
      <c r="J112" s="9"/>
      <c r="K112" s="10"/>
      <c r="L112" s="10"/>
      <c r="M112" s="9"/>
      <c r="N112" s="9"/>
      <c r="O112" s="9"/>
      <c r="P11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2" s="9"/>
      <c r="R112" s="9"/>
      <c r="S112" s="9"/>
      <c r="T112" s="37"/>
      <c r="U112" s="37"/>
      <c r="V112" s="37"/>
      <c r="W112" s="37"/>
      <c r="X112" s="37"/>
      <c r="Y112" s="37"/>
      <c r="Z11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2" s="37"/>
      <c r="AB112" s="66" t="str">
        <f>IF(COUNTA(SalCommune[[#This Row],[Nom]:[heures annuelles
selon contrat(s)]])=0,"",SalCommune[[#This Row],[Total global]]-ABS(SalCommune[[#This Row],[Dont non opposable]]))</f>
        <v/>
      </c>
      <c r="AC112" s="8"/>
      <c r="AD112" s="63"/>
      <c r="AE112" s="430"/>
      <c r="AF112" s="430"/>
      <c r="AG112" s="430"/>
      <c r="AH112" s="181"/>
      <c r="AI112" s="194">
        <f>IF(COUNTA(SalCommune[[#This Row],[N°]:[heures annuelles
selon contrat(s)]])=0,"",REVEX!$E$9)</f>
        <v>0</v>
      </c>
      <c r="AJ112" s="72" t="str">
        <f>IF(SalCommune[[#This Row],[Allocations fonctions]]="","",IF(ISNA(VLOOKUP(SalCommune[[#This Row],[Allocations fonctions]],DROPDOWN[Dropdown82],1,FALSE))=TRUE,"&lt;-- Veuillez choisir l'allocation parmis la liste déroulante.",""))</f>
        <v/>
      </c>
    </row>
    <row r="113" spans="1:36" x14ac:dyDescent="0.25">
      <c r="A113" s="72" t="str">
        <f>IF(SalCommune[[#This Row],[Statut]]="","",IF(ISNA(VLOOKUP(SalCommune[[#This Row],[Statut]],'Grille communale'!$B$3:$B$5,1,FALSE))=TRUE,"Veuillez choisir le statut parmis la liste déroulante",""))</f>
        <v/>
      </c>
      <c r="B113" s="725" t="str">
        <f>IF(SalCommune[[#This Row],[Matricule]]="","",MAX($B$7:B112)+1)</f>
        <v/>
      </c>
      <c r="C113" s="8"/>
      <c r="D113" s="8"/>
      <c r="E113" s="20"/>
      <c r="F113" s="8"/>
      <c r="G113" s="8"/>
      <c r="H113" s="9"/>
      <c r="I113" s="9"/>
      <c r="J113" s="9"/>
      <c r="K113" s="10"/>
      <c r="L113" s="10"/>
      <c r="M113" s="9"/>
      <c r="N113" s="9"/>
      <c r="O113" s="9"/>
      <c r="P11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3" s="9"/>
      <c r="R113" s="9"/>
      <c r="S113" s="9"/>
      <c r="T113" s="37"/>
      <c r="U113" s="37"/>
      <c r="V113" s="37"/>
      <c r="W113" s="37"/>
      <c r="X113" s="37"/>
      <c r="Y113" s="37"/>
      <c r="Z11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3" s="37"/>
      <c r="AB113" s="66" t="str">
        <f>IF(COUNTA(SalCommune[[#This Row],[Nom]:[heures annuelles
selon contrat(s)]])=0,"",SalCommune[[#This Row],[Total global]]-ABS(SalCommune[[#This Row],[Dont non opposable]]))</f>
        <v/>
      </c>
      <c r="AC113" s="8"/>
      <c r="AD113" s="63"/>
      <c r="AE113" s="430"/>
      <c r="AF113" s="430"/>
      <c r="AG113" s="430"/>
      <c r="AH113" s="181"/>
      <c r="AI113" s="194">
        <f>IF(COUNTA(SalCommune[[#This Row],[N°]:[heures annuelles
selon contrat(s)]])=0,"",REVEX!$E$9)</f>
        <v>0</v>
      </c>
      <c r="AJ113" s="72" t="str">
        <f>IF(SalCommune[[#This Row],[Allocations fonctions]]="","",IF(ISNA(VLOOKUP(SalCommune[[#This Row],[Allocations fonctions]],DROPDOWN[Dropdown82],1,FALSE))=TRUE,"&lt;-- Veuillez choisir l'allocation parmis la liste déroulante.",""))</f>
        <v/>
      </c>
    </row>
    <row r="114" spans="1:36" x14ac:dyDescent="0.25">
      <c r="A114" s="72" t="str">
        <f>IF(SalCommune[[#This Row],[Statut]]="","",IF(ISNA(VLOOKUP(SalCommune[[#This Row],[Statut]],'Grille communale'!$B$3:$B$5,1,FALSE))=TRUE,"Veuillez choisir le statut parmis la liste déroulante",""))</f>
        <v/>
      </c>
      <c r="B114" s="725" t="str">
        <f>IF(SalCommune[[#This Row],[Matricule]]="","",MAX($B$7:B113)+1)</f>
        <v/>
      </c>
      <c r="C114" s="8"/>
      <c r="D114" s="8"/>
      <c r="E114" s="20"/>
      <c r="F114" s="8"/>
      <c r="G114" s="8"/>
      <c r="H114" s="9"/>
      <c r="I114" s="9"/>
      <c r="J114" s="9"/>
      <c r="K114" s="10"/>
      <c r="L114" s="10"/>
      <c r="M114" s="9"/>
      <c r="N114" s="9"/>
      <c r="O114" s="9"/>
      <c r="P11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4" s="9"/>
      <c r="R114" s="9"/>
      <c r="S114" s="9"/>
      <c r="T114" s="37"/>
      <c r="U114" s="37"/>
      <c r="V114" s="37"/>
      <c r="W114" s="37"/>
      <c r="X114" s="37"/>
      <c r="Y114" s="37"/>
      <c r="Z11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4" s="37"/>
      <c r="AB114" s="66" t="str">
        <f>IF(COUNTA(SalCommune[[#This Row],[Nom]:[heures annuelles
selon contrat(s)]])=0,"",SalCommune[[#This Row],[Total global]]-ABS(SalCommune[[#This Row],[Dont non opposable]]))</f>
        <v/>
      </c>
      <c r="AC114" s="8"/>
      <c r="AD114" s="63"/>
      <c r="AE114" s="430"/>
      <c r="AF114" s="430"/>
      <c r="AG114" s="430"/>
      <c r="AH114" s="181"/>
      <c r="AI114" s="194">
        <f>IF(COUNTA(SalCommune[[#This Row],[N°]:[heures annuelles
selon contrat(s)]])=0,"",REVEX!$E$9)</f>
        <v>0</v>
      </c>
      <c r="AJ114" s="72" t="str">
        <f>IF(SalCommune[[#This Row],[Allocations fonctions]]="","",IF(ISNA(VLOOKUP(SalCommune[[#This Row],[Allocations fonctions]],DROPDOWN[Dropdown82],1,FALSE))=TRUE,"&lt;-- Veuillez choisir l'allocation parmis la liste déroulante.",""))</f>
        <v/>
      </c>
    </row>
    <row r="115" spans="1:36" x14ac:dyDescent="0.25">
      <c r="A115" s="72" t="str">
        <f>IF(SalCommune[[#This Row],[Statut]]="","",IF(ISNA(VLOOKUP(SalCommune[[#This Row],[Statut]],'Grille communale'!$B$3:$B$5,1,FALSE))=TRUE,"Veuillez choisir le statut parmis la liste déroulante",""))</f>
        <v/>
      </c>
      <c r="B115" s="725" t="str">
        <f>IF(SalCommune[[#This Row],[Matricule]]="","",MAX($B$7:B114)+1)</f>
        <v/>
      </c>
      <c r="C115" s="8"/>
      <c r="D115" s="8"/>
      <c r="E115" s="20"/>
      <c r="F115" s="8"/>
      <c r="G115" s="8"/>
      <c r="H115" s="9"/>
      <c r="I115" s="9"/>
      <c r="J115" s="9"/>
      <c r="K115" s="10"/>
      <c r="L115" s="10"/>
      <c r="M115" s="9"/>
      <c r="N115" s="9"/>
      <c r="O115" s="9"/>
      <c r="P11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5" s="9"/>
      <c r="R115" s="9"/>
      <c r="S115" s="9"/>
      <c r="T115" s="37"/>
      <c r="U115" s="37"/>
      <c r="V115" s="37"/>
      <c r="W115" s="37"/>
      <c r="X115" s="37"/>
      <c r="Y115" s="37"/>
      <c r="Z11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5" s="37"/>
      <c r="AB115" s="66" t="str">
        <f>IF(COUNTA(SalCommune[[#This Row],[Nom]:[heures annuelles
selon contrat(s)]])=0,"",SalCommune[[#This Row],[Total global]]-ABS(SalCommune[[#This Row],[Dont non opposable]]))</f>
        <v/>
      </c>
      <c r="AC115" s="8"/>
      <c r="AD115" s="63"/>
      <c r="AE115" s="430"/>
      <c r="AF115" s="430"/>
      <c r="AG115" s="430"/>
      <c r="AH115" s="181"/>
      <c r="AI115" s="194">
        <f>IF(COUNTA(SalCommune[[#This Row],[N°]:[heures annuelles
selon contrat(s)]])=0,"",REVEX!$E$9)</f>
        <v>0</v>
      </c>
      <c r="AJ115" s="72" t="str">
        <f>IF(SalCommune[[#This Row],[Allocations fonctions]]="","",IF(ISNA(VLOOKUP(SalCommune[[#This Row],[Allocations fonctions]],DROPDOWN[Dropdown82],1,FALSE))=TRUE,"&lt;-- Veuillez choisir l'allocation parmis la liste déroulante.",""))</f>
        <v/>
      </c>
    </row>
    <row r="116" spans="1:36" x14ac:dyDescent="0.25">
      <c r="A116" s="72" t="str">
        <f>IF(SalCommune[[#This Row],[Statut]]="","",IF(ISNA(VLOOKUP(SalCommune[[#This Row],[Statut]],'Grille communale'!$B$3:$B$5,1,FALSE))=TRUE,"Veuillez choisir le statut parmis la liste déroulante",""))</f>
        <v/>
      </c>
      <c r="B116" s="725" t="str">
        <f>IF(SalCommune[[#This Row],[Matricule]]="","",MAX($B$7:B115)+1)</f>
        <v/>
      </c>
      <c r="C116" s="8"/>
      <c r="D116" s="8"/>
      <c r="E116" s="20"/>
      <c r="F116" s="8"/>
      <c r="G116" s="8"/>
      <c r="H116" s="9"/>
      <c r="I116" s="9"/>
      <c r="J116" s="9"/>
      <c r="K116" s="10"/>
      <c r="L116" s="10"/>
      <c r="M116" s="9"/>
      <c r="N116" s="9"/>
      <c r="O116" s="9"/>
      <c r="P11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6" s="9"/>
      <c r="R116" s="9"/>
      <c r="S116" s="9"/>
      <c r="T116" s="37"/>
      <c r="U116" s="37"/>
      <c r="V116" s="37"/>
      <c r="W116" s="37"/>
      <c r="X116" s="37"/>
      <c r="Y116" s="37"/>
      <c r="Z11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6" s="37"/>
      <c r="AB116" s="66" t="str">
        <f>IF(COUNTA(SalCommune[[#This Row],[Nom]:[heures annuelles
selon contrat(s)]])=0,"",SalCommune[[#This Row],[Total global]]-ABS(SalCommune[[#This Row],[Dont non opposable]]))</f>
        <v/>
      </c>
      <c r="AC116" s="8"/>
      <c r="AD116" s="63"/>
      <c r="AE116" s="430"/>
      <c r="AF116" s="430"/>
      <c r="AG116" s="430"/>
      <c r="AH116" s="181"/>
      <c r="AI116" s="194">
        <f>IF(COUNTA(SalCommune[[#This Row],[N°]:[heures annuelles
selon contrat(s)]])=0,"",REVEX!$E$9)</f>
        <v>0</v>
      </c>
      <c r="AJ116" s="72" t="str">
        <f>IF(SalCommune[[#This Row],[Allocations fonctions]]="","",IF(ISNA(VLOOKUP(SalCommune[[#This Row],[Allocations fonctions]],DROPDOWN[Dropdown82],1,FALSE))=TRUE,"&lt;-- Veuillez choisir l'allocation parmis la liste déroulante.",""))</f>
        <v/>
      </c>
    </row>
    <row r="117" spans="1:36" x14ac:dyDescent="0.25">
      <c r="A117" s="72" t="str">
        <f>IF(SalCommune[[#This Row],[Statut]]="","",IF(ISNA(VLOOKUP(SalCommune[[#This Row],[Statut]],'Grille communale'!$B$3:$B$5,1,FALSE))=TRUE,"Veuillez choisir le statut parmis la liste déroulante",""))</f>
        <v/>
      </c>
      <c r="B117" s="725" t="str">
        <f>IF(SalCommune[[#This Row],[Matricule]]="","",MAX($B$7:B116)+1)</f>
        <v/>
      </c>
      <c r="C117" s="8"/>
      <c r="D117" s="8"/>
      <c r="E117" s="20"/>
      <c r="F117" s="8"/>
      <c r="G117" s="8"/>
      <c r="H117" s="9"/>
      <c r="I117" s="9"/>
      <c r="J117" s="9"/>
      <c r="K117" s="10"/>
      <c r="L117" s="10"/>
      <c r="M117" s="9"/>
      <c r="N117" s="9"/>
      <c r="O117" s="9"/>
      <c r="P11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7" s="9"/>
      <c r="R117" s="9"/>
      <c r="S117" s="9"/>
      <c r="T117" s="37"/>
      <c r="U117" s="37"/>
      <c r="V117" s="37"/>
      <c r="W117" s="37"/>
      <c r="X117" s="37"/>
      <c r="Y117" s="37"/>
      <c r="Z11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7" s="37"/>
      <c r="AB117" s="66" t="str">
        <f>IF(COUNTA(SalCommune[[#This Row],[Nom]:[heures annuelles
selon contrat(s)]])=0,"",SalCommune[[#This Row],[Total global]]-ABS(SalCommune[[#This Row],[Dont non opposable]]))</f>
        <v/>
      </c>
      <c r="AC117" s="8"/>
      <c r="AD117" s="63"/>
      <c r="AE117" s="430"/>
      <c r="AF117" s="430"/>
      <c r="AG117" s="430"/>
      <c r="AH117" s="181"/>
      <c r="AI117" s="194">
        <f>IF(COUNTA(SalCommune[[#This Row],[N°]:[heures annuelles
selon contrat(s)]])=0,"",REVEX!$E$9)</f>
        <v>0</v>
      </c>
      <c r="AJ117" s="72" t="str">
        <f>IF(SalCommune[[#This Row],[Allocations fonctions]]="","",IF(ISNA(VLOOKUP(SalCommune[[#This Row],[Allocations fonctions]],DROPDOWN[Dropdown82],1,FALSE))=TRUE,"&lt;-- Veuillez choisir l'allocation parmis la liste déroulante.",""))</f>
        <v/>
      </c>
    </row>
    <row r="118" spans="1:36" x14ac:dyDescent="0.25">
      <c r="A118" s="72" t="str">
        <f>IF(SalCommune[[#This Row],[Statut]]="","",IF(ISNA(VLOOKUP(SalCommune[[#This Row],[Statut]],'Grille communale'!$B$3:$B$5,1,FALSE))=TRUE,"Veuillez choisir le statut parmis la liste déroulante",""))</f>
        <v/>
      </c>
      <c r="B118" s="725" t="str">
        <f>IF(SalCommune[[#This Row],[Matricule]]="","",MAX($B$7:B117)+1)</f>
        <v/>
      </c>
      <c r="C118" s="8"/>
      <c r="D118" s="8"/>
      <c r="E118" s="20"/>
      <c r="F118" s="8"/>
      <c r="G118" s="8"/>
      <c r="H118" s="9"/>
      <c r="I118" s="9"/>
      <c r="J118" s="9"/>
      <c r="K118" s="10"/>
      <c r="L118" s="10"/>
      <c r="M118" s="9"/>
      <c r="N118" s="9"/>
      <c r="O118" s="9"/>
      <c r="P11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8" s="9"/>
      <c r="R118" s="9"/>
      <c r="S118" s="9"/>
      <c r="T118" s="37"/>
      <c r="U118" s="37"/>
      <c r="V118" s="37"/>
      <c r="W118" s="37"/>
      <c r="X118" s="37"/>
      <c r="Y118" s="37"/>
      <c r="Z11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8" s="37"/>
      <c r="AB118" s="66" t="str">
        <f>IF(COUNTA(SalCommune[[#This Row],[Nom]:[heures annuelles
selon contrat(s)]])=0,"",SalCommune[[#This Row],[Total global]]-ABS(SalCommune[[#This Row],[Dont non opposable]]))</f>
        <v/>
      </c>
      <c r="AC118" s="8"/>
      <c r="AD118" s="63"/>
      <c r="AE118" s="430"/>
      <c r="AF118" s="430"/>
      <c r="AG118" s="430"/>
      <c r="AH118" s="181"/>
      <c r="AI118" s="194">
        <f>IF(COUNTA(SalCommune[[#This Row],[N°]:[heures annuelles
selon contrat(s)]])=0,"",REVEX!$E$9)</f>
        <v>0</v>
      </c>
      <c r="AJ118" s="72" t="str">
        <f>IF(SalCommune[[#This Row],[Allocations fonctions]]="","",IF(ISNA(VLOOKUP(SalCommune[[#This Row],[Allocations fonctions]],DROPDOWN[Dropdown82],1,FALSE))=TRUE,"&lt;-- Veuillez choisir l'allocation parmis la liste déroulante.",""))</f>
        <v/>
      </c>
    </row>
    <row r="119" spans="1:36" x14ac:dyDescent="0.25">
      <c r="A119" s="72" t="str">
        <f>IF(SalCommune[[#This Row],[Statut]]="","",IF(ISNA(VLOOKUP(SalCommune[[#This Row],[Statut]],'Grille communale'!$B$3:$B$5,1,FALSE))=TRUE,"Veuillez choisir le statut parmis la liste déroulante",""))</f>
        <v/>
      </c>
      <c r="B119" s="725" t="str">
        <f>IF(SalCommune[[#This Row],[Matricule]]="","",MAX($B$7:B118)+1)</f>
        <v/>
      </c>
      <c r="C119" s="8"/>
      <c r="D119" s="8"/>
      <c r="E119" s="20"/>
      <c r="F119" s="8"/>
      <c r="G119" s="8"/>
      <c r="H119" s="9"/>
      <c r="I119" s="9"/>
      <c r="J119" s="9"/>
      <c r="K119" s="10"/>
      <c r="L119" s="10"/>
      <c r="M119" s="9"/>
      <c r="N119" s="9"/>
      <c r="O119" s="9"/>
      <c r="P11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19" s="9"/>
      <c r="R119" s="9"/>
      <c r="S119" s="9"/>
      <c r="T119" s="37"/>
      <c r="U119" s="37"/>
      <c r="V119" s="37"/>
      <c r="W119" s="37"/>
      <c r="X119" s="37"/>
      <c r="Y119" s="37"/>
      <c r="Z11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19" s="37"/>
      <c r="AB119" s="66" t="str">
        <f>IF(COUNTA(SalCommune[[#This Row],[Nom]:[heures annuelles
selon contrat(s)]])=0,"",SalCommune[[#This Row],[Total global]]-ABS(SalCommune[[#This Row],[Dont non opposable]]))</f>
        <v/>
      </c>
      <c r="AC119" s="8"/>
      <c r="AD119" s="63"/>
      <c r="AE119" s="430"/>
      <c r="AF119" s="430"/>
      <c r="AG119" s="430"/>
      <c r="AH119" s="181"/>
      <c r="AI119" s="194">
        <f>IF(COUNTA(SalCommune[[#This Row],[N°]:[heures annuelles
selon contrat(s)]])=0,"",REVEX!$E$9)</f>
        <v>0</v>
      </c>
      <c r="AJ119" s="72" t="str">
        <f>IF(SalCommune[[#This Row],[Allocations fonctions]]="","",IF(ISNA(VLOOKUP(SalCommune[[#This Row],[Allocations fonctions]],DROPDOWN[Dropdown82],1,FALSE))=TRUE,"&lt;-- Veuillez choisir l'allocation parmis la liste déroulante.",""))</f>
        <v/>
      </c>
    </row>
    <row r="120" spans="1:36" x14ac:dyDescent="0.25">
      <c r="A120" s="72" t="str">
        <f>IF(SalCommune[[#This Row],[Statut]]="","",IF(ISNA(VLOOKUP(SalCommune[[#This Row],[Statut]],'Grille communale'!$B$3:$B$5,1,FALSE))=TRUE,"Veuillez choisir le statut parmis la liste déroulante",""))</f>
        <v/>
      </c>
      <c r="B120" s="725" t="str">
        <f>IF(SalCommune[[#This Row],[Matricule]]="","",MAX($B$7:B119)+1)</f>
        <v/>
      </c>
      <c r="C120" s="8"/>
      <c r="D120" s="8"/>
      <c r="E120" s="20"/>
      <c r="F120" s="8"/>
      <c r="G120" s="8"/>
      <c r="H120" s="9"/>
      <c r="I120" s="9"/>
      <c r="J120" s="9"/>
      <c r="K120" s="10"/>
      <c r="L120" s="10"/>
      <c r="M120" s="9"/>
      <c r="N120" s="9"/>
      <c r="O120" s="9"/>
      <c r="P12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0" s="9"/>
      <c r="R120" s="9"/>
      <c r="S120" s="9"/>
      <c r="T120" s="37"/>
      <c r="U120" s="37"/>
      <c r="V120" s="37"/>
      <c r="W120" s="37"/>
      <c r="X120" s="37"/>
      <c r="Y120" s="37"/>
      <c r="Z12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0" s="37"/>
      <c r="AB120" s="66" t="str">
        <f>IF(COUNTA(SalCommune[[#This Row],[Nom]:[heures annuelles
selon contrat(s)]])=0,"",SalCommune[[#This Row],[Total global]]-ABS(SalCommune[[#This Row],[Dont non opposable]]))</f>
        <v/>
      </c>
      <c r="AC120" s="8"/>
      <c r="AD120" s="63"/>
      <c r="AE120" s="430"/>
      <c r="AF120" s="430"/>
      <c r="AG120" s="430"/>
      <c r="AH120" s="181"/>
      <c r="AI120" s="194">
        <f>IF(COUNTA(SalCommune[[#This Row],[N°]:[heures annuelles
selon contrat(s)]])=0,"",REVEX!$E$9)</f>
        <v>0</v>
      </c>
      <c r="AJ120" s="72" t="str">
        <f>IF(SalCommune[[#This Row],[Allocations fonctions]]="","",IF(ISNA(VLOOKUP(SalCommune[[#This Row],[Allocations fonctions]],DROPDOWN[Dropdown82],1,FALSE))=TRUE,"&lt;-- Veuillez choisir l'allocation parmis la liste déroulante.",""))</f>
        <v/>
      </c>
    </row>
    <row r="121" spans="1:36" x14ac:dyDescent="0.25">
      <c r="A121" s="72" t="str">
        <f>IF(SalCommune[[#This Row],[Statut]]="","",IF(ISNA(VLOOKUP(SalCommune[[#This Row],[Statut]],'Grille communale'!$B$3:$B$5,1,FALSE))=TRUE,"Veuillez choisir le statut parmis la liste déroulante",""))</f>
        <v/>
      </c>
      <c r="B121" s="725" t="str">
        <f>IF(SalCommune[[#This Row],[Matricule]]="","",MAX($B$7:B120)+1)</f>
        <v/>
      </c>
      <c r="C121" s="8"/>
      <c r="D121" s="8"/>
      <c r="E121" s="20"/>
      <c r="F121" s="8"/>
      <c r="G121" s="8"/>
      <c r="H121" s="9"/>
      <c r="I121" s="9"/>
      <c r="J121" s="9"/>
      <c r="K121" s="10"/>
      <c r="L121" s="10"/>
      <c r="M121" s="9"/>
      <c r="N121" s="9"/>
      <c r="O121" s="9"/>
      <c r="P12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1" s="9"/>
      <c r="R121" s="9"/>
      <c r="S121" s="9"/>
      <c r="T121" s="37"/>
      <c r="U121" s="37"/>
      <c r="V121" s="37"/>
      <c r="W121" s="37"/>
      <c r="X121" s="37"/>
      <c r="Y121" s="37"/>
      <c r="Z12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1" s="37"/>
      <c r="AB121" s="66" t="str">
        <f>IF(COUNTA(SalCommune[[#This Row],[Nom]:[heures annuelles
selon contrat(s)]])=0,"",SalCommune[[#This Row],[Total global]]-ABS(SalCommune[[#This Row],[Dont non opposable]]))</f>
        <v/>
      </c>
      <c r="AC121" s="8"/>
      <c r="AD121" s="63"/>
      <c r="AE121" s="430"/>
      <c r="AF121" s="430"/>
      <c r="AG121" s="430"/>
      <c r="AH121" s="181"/>
      <c r="AI121" s="194">
        <f>IF(COUNTA(SalCommune[[#This Row],[N°]:[heures annuelles
selon contrat(s)]])=0,"",REVEX!$E$9)</f>
        <v>0</v>
      </c>
      <c r="AJ121" s="72" t="str">
        <f>IF(SalCommune[[#This Row],[Allocations fonctions]]="","",IF(ISNA(VLOOKUP(SalCommune[[#This Row],[Allocations fonctions]],DROPDOWN[Dropdown82],1,FALSE))=TRUE,"&lt;-- Veuillez choisir l'allocation parmis la liste déroulante.",""))</f>
        <v/>
      </c>
    </row>
    <row r="122" spans="1:36" x14ac:dyDescent="0.25">
      <c r="A122" s="72" t="str">
        <f>IF(SalCommune[[#This Row],[Statut]]="","",IF(ISNA(VLOOKUP(SalCommune[[#This Row],[Statut]],'Grille communale'!$B$3:$B$5,1,FALSE))=TRUE,"Veuillez choisir le statut parmis la liste déroulante",""))</f>
        <v/>
      </c>
      <c r="B122" s="725" t="str">
        <f>IF(SalCommune[[#This Row],[Matricule]]="","",MAX($B$7:B121)+1)</f>
        <v/>
      </c>
      <c r="C122" s="8"/>
      <c r="D122" s="8"/>
      <c r="E122" s="20"/>
      <c r="F122" s="8"/>
      <c r="G122" s="8"/>
      <c r="H122" s="9"/>
      <c r="I122" s="9"/>
      <c r="J122" s="9"/>
      <c r="K122" s="10"/>
      <c r="L122" s="10"/>
      <c r="M122" s="9"/>
      <c r="N122" s="9"/>
      <c r="O122" s="9"/>
      <c r="P12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2" s="9"/>
      <c r="R122" s="9"/>
      <c r="S122" s="9"/>
      <c r="T122" s="37"/>
      <c r="U122" s="37"/>
      <c r="V122" s="37"/>
      <c r="W122" s="37"/>
      <c r="X122" s="37"/>
      <c r="Y122" s="37"/>
      <c r="Z12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2" s="37"/>
      <c r="AB122" s="66" t="str">
        <f>IF(COUNTA(SalCommune[[#This Row],[Nom]:[heures annuelles
selon contrat(s)]])=0,"",SalCommune[[#This Row],[Total global]]-ABS(SalCommune[[#This Row],[Dont non opposable]]))</f>
        <v/>
      </c>
      <c r="AC122" s="8"/>
      <c r="AD122" s="63"/>
      <c r="AE122" s="430"/>
      <c r="AF122" s="430"/>
      <c r="AG122" s="430"/>
      <c r="AH122" s="181"/>
      <c r="AI122" s="194">
        <f>IF(COUNTA(SalCommune[[#This Row],[N°]:[heures annuelles
selon contrat(s)]])=0,"",REVEX!$E$9)</f>
        <v>0</v>
      </c>
      <c r="AJ122" s="72" t="str">
        <f>IF(SalCommune[[#This Row],[Allocations fonctions]]="","",IF(ISNA(VLOOKUP(SalCommune[[#This Row],[Allocations fonctions]],DROPDOWN[Dropdown82],1,FALSE))=TRUE,"&lt;-- Veuillez choisir l'allocation parmis la liste déroulante.",""))</f>
        <v/>
      </c>
    </row>
    <row r="123" spans="1:36" x14ac:dyDescent="0.25">
      <c r="A123" s="72" t="str">
        <f>IF(SalCommune[[#This Row],[Statut]]="","",IF(ISNA(VLOOKUP(SalCommune[[#This Row],[Statut]],'Grille communale'!$B$3:$B$5,1,FALSE))=TRUE,"Veuillez choisir le statut parmis la liste déroulante",""))</f>
        <v/>
      </c>
      <c r="B123" s="725" t="str">
        <f>IF(SalCommune[[#This Row],[Matricule]]="","",MAX($B$7:B122)+1)</f>
        <v/>
      </c>
      <c r="C123" s="8"/>
      <c r="D123" s="8"/>
      <c r="E123" s="20"/>
      <c r="F123" s="8"/>
      <c r="G123" s="8"/>
      <c r="H123" s="9"/>
      <c r="I123" s="9"/>
      <c r="J123" s="9"/>
      <c r="K123" s="10"/>
      <c r="L123" s="10"/>
      <c r="M123" s="9"/>
      <c r="N123" s="9"/>
      <c r="O123" s="9"/>
      <c r="P12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3" s="9"/>
      <c r="R123" s="9"/>
      <c r="S123" s="9"/>
      <c r="T123" s="37"/>
      <c r="U123" s="37"/>
      <c r="V123" s="37"/>
      <c r="W123" s="37"/>
      <c r="X123" s="37"/>
      <c r="Y123" s="37"/>
      <c r="Z12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3" s="37"/>
      <c r="AB123" s="66" t="str">
        <f>IF(COUNTA(SalCommune[[#This Row],[Nom]:[heures annuelles
selon contrat(s)]])=0,"",SalCommune[[#This Row],[Total global]]-ABS(SalCommune[[#This Row],[Dont non opposable]]))</f>
        <v/>
      </c>
      <c r="AC123" s="8"/>
      <c r="AD123" s="63"/>
      <c r="AE123" s="430"/>
      <c r="AF123" s="430"/>
      <c r="AG123" s="430"/>
      <c r="AH123" s="181"/>
      <c r="AI123" s="194">
        <f>IF(COUNTA(SalCommune[[#This Row],[N°]:[heures annuelles
selon contrat(s)]])=0,"",REVEX!$E$9)</f>
        <v>0</v>
      </c>
      <c r="AJ123" s="72" t="str">
        <f>IF(SalCommune[[#This Row],[Allocations fonctions]]="","",IF(ISNA(VLOOKUP(SalCommune[[#This Row],[Allocations fonctions]],DROPDOWN[Dropdown82],1,FALSE))=TRUE,"&lt;-- Veuillez choisir l'allocation parmis la liste déroulante.",""))</f>
        <v/>
      </c>
    </row>
    <row r="124" spans="1:36" x14ac:dyDescent="0.25">
      <c r="A124" s="72" t="str">
        <f>IF(SalCommune[[#This Row],[Statut]]="","",IF(ISNA(VLOOKUP(SalCommune[[#This Row],[Statut]],'Grille communale'!$B$3:$B$5,1,FALSE))=TRUE,"Veuillez choisir le statut parmis la liste déroulante",""))</f>
        <v/>
      </c>
      <c r="B124" s="725" t="str">
        <f>IF(SalCommune[[#This Row],[Matricule]]="","",MAX($B$7:B123)+1)</f>
        <v/>
      </c>
      <c r="C124" s="8"/>
      <c r="D124" s="8"/>
      <c r="E124" s="20"/>
      <c r="F124" s="8"/>
      <c r="G124" s="8"/>
      <c r="H124" s="9"/>
      <c r="I124" s="9"/>
      <c r="J124" s="9"/>
      <c r="K124" s="10"/>
      <c r="L124" s="10"/>
      <c r="M124" s="9"/>
      <c r="N124" s="9"/>
      <c r="O124" s="9"/>
      <c r="P12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4" s="9"/>
      <c r="R124" s="9"/>
      <c r="S124" s="9"/>
      <c r="T124" s="37"/>
      <c r="U124" s="37"/>
      <c r="V124" s="37"/>
      <c r="W124" s="37"/>
      <c r="X124" s="37"/>
      <c r="Y124" s="37"/>
      <c r="Z12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4" s="37"/>
      <c r="AB124" s="66" t="str">
        <f>IF(COUNTA(SalCommune[[#This Row],[Nom]:[heures annuelles
selon contrat(s)]])=0,"",SalCommune[[#This Row],[Total global]]-ABS(SalCommune[[#This Row],[Dont non opposable]]))</f>
        <v/>
      </c>
      <c r="AC124" s="8"/>
      <c r="AD124" s="63"/>
      <c r="AE124" s="430"/>
      <c r="AF124" s="430"/>
      <c r="AG124" s="430"/>
      <c r="AH124" s="181"/>
      <c r="AI124" s="194">
        <f>IF(COUNTA(SalCommune[[#This Row],[N°]:[heures annuelles
selon contrat(s)]])=0,"",REVEX!$E$9)</f>
        <v>0</v>
      </c>
      <c r="AJ124" s="72" t="str">
        <f>IF(SalCommune[[#This Row],[Allocations fonctions]]="","",IF(ISNA(VLOOKUP(SalCommune[[#This Row],[Allocations fonctions]],DROPDOWN[Dropdown82],1,FALSE))=TRUE,"&lt;-- Veuillez choisir l'allocation parmis la liste déroulante.",""))</f>
        <v/>
      </c>
    </row>
    <row r="125" spans="1:36" x14ac:dyDescent="0.25">
      <c r="A125" s="72" t="str">
        <f>IF(SalCommune[[#This Row],[Statut]]="","",IF(ISNA(VLOOKUP(SalCommune[[#This Row],[Statut]],'Grille communale'!$B$3:$B$5,1,FALSE))=TRUE,"Veuillez choisir le statut parmis la liste déroulante",""))</f>
        <v/>
      </c>
      <c r="B125" s="725" t="str">
        <f>IF(SalCommune[[#This Row],[Matricule]]="","",MAX($B$7:B124)+1)</f>
        <v/>
      </c>
      <c r="C125" s="8"/>
      <c r="D125" s="8"/>
      <c r="E125" s="20"/>
      <c r="F125" s="8"/>
      <c r="G125" s="8"/>
      <c r="H125" s="9"/>
      <c r="I125" s="9"/>
      <c r="J125" s="9"/>
      <c r="K125" s="10"/>
      <c r="L125" s="10"/>
      <c r="M125" s="9"/>
      <c r="N125" s="9"/>
      <c r="O125" s="9"/>
      <c r="P12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5" s="9"/>
      <c r="R125" s="9"/>
      <c r="S125" s="9"/>
      <c r="T125" s="37"/>
      <c r="U125" s="37"/>
      <c r="V125" s="37"/>
      <c r="W125" s="37"/>
      <c r="X125" s="37"/>
      <c r="Y125" s="37"/>
      <c r="Z12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5" s="37"/>
      <c r="AB125" s="66" t="str">
        <f>IF(COUNTA(SalCommune[[#This Row],[Nom]:[heures annuelles
selon contrat(s)]])=0,"",SalCommune[[#This Row],[Total global]]-ABS(SalCommune[[#This Row],[Dont non opposable]]))</f>
        <v/>
      </c>
      <c r="AC125" s="8"/>
      <c r="AD125" s="63"/>
      <c r="AE125" s="430"/>
      <c r="AF125" s="430"/>
      <c r="AG125" s="430"/>
      <c r="AH125" s="181"/>
      <c r="AI125" s="194">
        <f>IF(COUNTA(SalCommune[[#This Row],[N°]:[heures annuelles
selon contrat(s)]])=0,"",REVEX!$E$9)</f>
        <v>0</v>
      </c>
      <c r="AJ125" s="72" t="str">
        <f>IF(SalCommune[[#This Row],[Allocations fonctions]]="","",IF(ISNA(VLOOKUP(SalCommune[[#This Row],[Allocations fonctions]],DROPDOWN[Dropdown82],1,FALSE))=TRUE,"&lt;-- Veuillez choisir l'allocation parmis la liste déroulante.",""))</f>
        <v/>
      </c>
    </row>
    <row r="126" spans="1:36" x14ac:dyDescent="0.25">
      <c r="A126" s="72" t="str">
        <f>IF(SalCommune[[#This Row],[Statut]]="","",IF(ISNA(VLOOKUP(SalCommune[[#This Row],[Statut]],'Grille communale'!$B$3:$B$5,1,FALSE))=TRUE,"Veuillez choisir le statut parmis la liste déroulante",""))</f>
        <v/>
      </c>
      <c r="B126" s="725" t="str">
        <f>IF(SalCommune[[#This Row],[Matricule]]="","",MAX($B$7:B125)+1)</f>
        <v/>
      </c>
      <c r="C126" s="8"/>
      <c r="D126" s="8"/>
      <c r="E126" s="20"/>
      <c r="F126" s="8"/>
      <c r="G126" s="8"/>
      <c r="H126" s="9"/>
      <c r="I126" s="9"/>
      <c r="J126" s="9"/>
      <c r="K126" s="10"/>
      <c r="L126" s="10"/>
      <c r="M126" s="9"/>
      <c r="N126" s="9"/>
      <c r="O126" s="9"/>
      <c r="P12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6" s="9"/>
      <c r="R126" s="9"/>
      <c r="S126" s="9"/>
      <c r="T126" s="37"/>
      <c r="U126" s="37"/>
      <c r="V126" s="37"/>
      <c r="W126" s="37"/>
      <c r="X126" s="37"/>
      <c r="Y126" s="37"/>
      <c r="Z12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6" s="37"/>
      <c r="AB126" s="66" t="str">
        <f>IF(COUNTA(SalCommune[[#This Row],[Nom]:[heures annuelles
selon contrat(s)]])=0,"",SalCommune[[#This Row],[Total global]]-ABS(SalCommune[[#This Row],[Dont non opposable]]))</f>
        <v/>
      </c>
      <c r="AC126" s="8"/>
      <c r="AD126" s="63"/>
      <c r="AE126" s="430"/>
      <c r="AF126" s="430"/>
      <c r="AG126" s="430"/>
      <c r="AH126" s="181"/>
      <c r="AI126" s="194">
        <f>IF(COUNTA(SalCommune[[#This Row],[N°]:[heures annuelles
selon contrat(s)]])=0,"",REVEX!$E$9)</f>
        <v>0</v>
      </c>
      <c r="AJ126" s="72" t="str">
        <f>IF(SalCommune[[#This Row],[Allocations fonctions]]="","",IF(ISNA(VLOOKUP(SalCommune[[#This Row],[Allocations fonctions]],DROPDOWN[Dropdown82],1,FALSE))=TRUE,"&lt;-- Veuillez choisir l'allocation parmis la liste déroulante.",""))</f>
        <v/>
      </c>
    </row>
    <row r="127" spans="1:36" x14ac:dyDescent="0.25">
      <c r="A127" s="72" t="str">
        <f>IF(SalCommune[[#This Row],[Statut]]="","",IF(ISNA(VLOOKUP(SalCommune[[#This Row],[Statut]],'Grille communale'!$B$3:$B$5,1,FALSE))=TRUE,"Veuillez choisir le statut parmis la liste déroulante",""))</f>
        <v/>
      </c>
      <c r="B127" s="725" t="str">
        <f>IF(SalCommune[[#This Row],[Matricule]]="","",MAX($B$7:B126)+1)</f>
        <v/>
      </c>
      <c r="C127" s="8"/>
      <c r="D127" s="8"/>
      <c r="E127" s="20"/>
      <c r="F127" s="8"/>
      <c r="G127" s="8"/>
      <c r="H127" s="9"/>
      <c r="I127" s="9"/>
      <c r="J127" s="9"/>
      <c r="K127" s="10"/>
      <c r="L127" s="10"/>
      <c r="M127" s="9"/>
      <c r="N127" s="9"/>
      <c r="O127" s="9"/>
      <c r="P12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7" s="9"/>
      <c r="R127" s="9"/>
      <c r="S127" s="9"/>
      <c r="T127" s="37"/>
      <c r="U127" s="37"/>
      <c r="V127" s="37"/>
      <c r="W127" s="37"/>
      <c r="X127" s="37"/>
      <c r="Y127" s="37"/>
      <c r="Z12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7" s="37"/>
      <c r="AB127" s="66" t="str">
        <f>IF(COUNTA(SalCommune[[#This Row],[Nom]:[heures annuelles
selon contrat(s)]])=0,"",SalCommune[[#This Row],[Total global]]-ABS(SalCommune[[#This Row],[Dont non opposable]]))</f>
        <v/>
      </c>
      <c r="AC127" s="8"/>
      <c r="AD127" s="63"/>
      <c r="AE127" s="430"/>
      <c r="AF127" s="430"/>
      <c r="AG127" s="430"/>
      <c r="AH127" s="181"/>
      <c r="AI127" s="194">
        <f>IF(COUNTA(SalCommune[[#This Row],[N°]:[heures annuelles
selon contrat(s)]])=0,"",REVEX!$E$9)</f>
        <v>0</v>
      </c>
      <c r="AJ127" s="72" t="str">
        <f>IF(SalCommune[[#This Row],[Allocations fonctions]]="","",IF(ISNA(VLOOKUP(SalCommune[[#This Row],[Allocations fonctions]],DROPDOWN[Dropdown82],1,FALSE))=TRUE,"&lt;-- Veuillez choisir l'allocation parmis la liste déroulante.",""))</f>
        <v/>
      </c>
    </row>
    <row r="128" spans="1:36" x14ac:dyDescent="0.25">
      <c r="A128" s="72" t="str">
        <f>IF(SalCommune[[#This Row],[Statut]]="","",IF(ISNA(VLOOKUP(SalCommune[[#This Row],[Statut]],'Grille communale'!$B$3:$B$5,1,FALSE))=TRUE,"Veuillez choisir le statut parmis la liste déroulante",""))</f>
        <v/>
      </c>
      <c r="B128" s="725" t="str">
        <f>IF(SalCommune[[#This Row],[Matricule]]="","",MAX($B$7:B127)+1)</f>
        <v/>
      </c>
      <c r="C128" s="8"/>
      <c r="D128" s="8"/>
      <c r="E128" s="20"/>
      <c r="F128" s="8"/>
      <c r="G128" s="8"/>
      <c r="H128" s="9"/>
      <c r="I128" s="9"/>
      <c r="J128" s="9"/>
      <c r="K128" s="10"/>
      <c r="L128" s="10"/>
      <c r="M128" s="9"/>
      <c r="N128" s="9"/>
      <c r="O128" s="9"/>
      <c r="P12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8" s="9"/>
      <c r="R128" s="9"/>
      <c r="S128" s="9"/>
      <c r="T128" s="37"/>
      <c r="U128" s="37"/>
      <c r="V128" s="37"/>
      <c r="W128" s="37"/>
      <c r="X128" s="37"/>
      <c r="Y128" s="37"/>
      <c r="Z12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8" s="37"/>
      <c r="AB128" s="66" t="str">
        <f>IF(COUNTA(SalCommune[[#This Row],[Nom]:[heures annuelles
selon contrat(s)]])=0,"",SalCommune[[#This Row],[Total global]]-ABS(SalCommune[[#This Row],[Dont non opposable]]))</f>
        <v/>
      </c>
      <c r="AC128" s="8"/>
      <c r="AD128" s="63"/>
      <c r="AE128" s="430"/>
      <c r="AF128" s="430"/>
      <c r="AG128" s="430"/>
      <c r="AH128" s="181"/>
      <c r="AI128" s="194">
        <f>IF(COUNTA(SalCommune[[#This Row],[N°]:[heures annuelles
selon contrat(s)]])=0,"",REVEX!$E$9)</f>
        <v>0</v>
      </c>
      <c r="AJ128" s="72" t="str">
        <f>IF(SalCommune[[#This Row],[Allocations fonctions]]="","",IF(ISNA(VLOOKUP(SalCommune[[#This Row],[Allocations fonctions]],DROPDOWN[Dropdown82],1,FALSE))=TRUE,"&lt;-- Veuillez choisir l'allocation parmis la liste déroulante.",""))</f>
        <v/>
      </c>
    </row>
    <row r="129" spans="1:36" x14ac:dyDescent="0.25">
      <c r="A129" s="72" t="str">
        <f>IF(SalCommune[[#This Row],[Statut]]="","",IF(ISNA(VLOOKUP(SalCommune[[#This Row],[Statut]],'Grille communale'!$B$3:$B$5,1,FALSE))=TRUE,"Veuillez choisir le statut parmis la liste déroulante",""))</f>
        <v/>
      </c>
      <c r="B129" s="725" t="str">
        <f>IF(SalCommune[[#This Row],[Matricule]]="","",MAX($B$7:B128)+1)</f>
        <v/>
      </c>
      <c r="C129" s="8"/>
      <c r="D129" s="8"/>
      <c r="E129" s="20"/>
      <c r="F129" s="8"/>
      <c r="G129" s="8"/>
      <c r="H129" s="9"/>
      <c r="I129" s="9"/>
      <c r="J129" s="9"/>
      <c r="K129" s="10"/>
      <c r="L129" s="10"/>
      <c r="M129" s="9"/>
      <c r="N129" s="9"/>
      <c r="O129" s="9"/>
      <c r="P12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29" s="9"/>
      <c r="R129" s="9"/>
      <c r="S129" s="9"/>
      <c r="T129" s="37"/>
      <c r="U129" s="37"/>
      <c r="V129" s="37"/>
      <c r="W129" s="37"/>
      <c r="X129" s="37"/>
      <c r="Y129" s="37"/>
      <c r="Z12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29" s="37"/>
      <c r="AB129" s="66" t="str">
        <f>IF(COUNTA(SalCommune[[#This Row],[Nom]:[heures annuelles
selon contrat(s)]])=0,"",SalCommune[[#This Row],[Total global]]-ABS(SalCommune[[#This Row],[Dont non opposable]]))</f>
        <v/>
      </c>
      <c r="AC129" s="8"/>
      <c r="AD129" s="63"/>
      <c r="AE129" s="430"/>
      <c r="AF129" s="430"/>
      <c r="AG129" s="430"/>
      <c r="AH129" s="181"/>
      <c r="AI129" s="194">
        <f>IF(COUNTA(SalCommune[[#This Row],[N°]:[heures annuelles
selon contrat(s)]])=0,"",REVEX!$E$9)</f>
        <v>0</v>
      </c>
      <c r="AJ129" s="72" t="str">
        <f>IF(SalCommune[[#This Row],[Allocations fonctions]]="","",IF(ISNA(VLOOKUP(SalCommune[[#This Row],[Allocations fonctions]],DROPDOWN[Dropdown82],1,FALSE))=TRUE,"&lt;-- Veuillez choisir l'allocation parmis la liste déroulante.",""))</f>
        <v/>
      </c>
    </row>
    <row r="130" spans="1:36" x14ac:dyDescent="0.25">
      <c r="A130" s="72" t="str">
        <f>IF(SalCommune[[#This Row],[Statut]]="","",IF(ISNA(VLOOKUP(SalCommune[[#This Row],[Statut]],'Grille communale'!$B$3:$B$5,1,FALSE))=TRUE,"Veuillez choisir le statut parmis la liste déroulante",""))</f>
        <v/>
      </c>
      <c r="B130" s="725" t="str">
        <f>IF(SalCommune[[#This Row],[Matricule]]="","",MAX($B$7:B129)+1)</f>
        <v/>
      </c>
      <c r="C130" s="8"/>
      <c r="D130" s="8"/>
      <c r="E130" s="20"/>
      <c r="F130" s="8"/>
      <c r="G130" s="8"/>
      <c r="H130" s="9"/>
      <c r="I130" s="9"/>
      <c r="J130" s="9"/>
      <c r="K130" s="10"/>
      <c r="L130" s="10"/>
      <c r="M130" s="9"/>
      <c r="N130" s="9"/>
      <c r="O130" s="9"/>
      <c r="P13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0" s="9"/>
      <c r="R130" s="9"/>
      <c r="S130" s="9"/>
      <c r="T130" s="37"/>
      <c r="U130" s="37"/>
      <c r="V130" s="37"/>
      <c r="W130" s="37"/>
      <c r="X130" s="37"/>
      <c r="Y130" s="37"/>
      <c r="Z13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0" s="37"/>
      <c r="AB130" s="66" t="str">
        <f>IF(COUNTA(SalCommune[[#This Row],[Nom]:[heures annuelles
selon contrat(s)]])=0,"",SalCommune[[#This Row],[Total global]]-ABS(SalCommune[[#This Row],[Dont non opposable]]))</f>
        <v/>
      </c>
      <c r="AC130" s="8"/>
      <c r="AD130" s="63"/>
      <c r="AE130" s="430"/>
      <c r="AF130" s="430"/>
      <c r="AG130" s="430"/>
      <c r="AH130" s="181"/>
      <c r="AI130" s="194">
        <f>IF(COUNTA(SalCommune[[#This Row],[N°]:[heures annuelles
selon contrat(s)]])=0,"",REVEX!$E$9)</f>
        <v>0</v>
      </c>
      <c r="AJ130" s="72" t="str">
        <f>IF(SalCommune[[#This Row],[Allocations fonctions]]="","",IF(ISNA(VLOOKUP(SalCommune[[#This Row],[Allocations fonctions]],DROPDOWN[Dropdown82],1,FALSE))=TRUE,"&lt;-- Veuillez choisir l'allocation parmis la liste déroulante.",""))</f>
        <v/>
      </c>
    </row>
    <row r="131" spans="1:36" x14ac:dyDescent="0.25">
      <c r="A131" s="72" t="str">
        <f>IF(SalCommune[[#This Row],[Statut]]="","",IF(ISNA(VLOOKUP(SalCommune[[#This Row],[Statut]],'Grille communale'!$B$3:$B$5,1,FALSE))=TRUE,"Veuillez choisir le statut parmis la liste déroulante",""))</f>
        <v/>
      </c>
      <c r="B131" s="725" t="str">
        <f>IF(SalCommune[[#This Row],[Matricule]]="","",MAX($B$7:B130)+1)</f>
        <v/>
      </c>
      <c r="C131" s="8"/>
      <c r="D131" s="8"/>
      <c r="E131" s="20"/>
      <c r="F131" s="8"/>
      <c r="G131" s="8"/>
      <c r="H131" s="9"/>
      <c r="I131" s="9"/>
      <c r="J131" s="9"/>
      <c r="K131" s="10"/>
      <c r="L131" s="10"/>
      <c r="M131" s="9"/>
      <c r="N131" s="9"/>
      <c r="O131" s="9"/>
      <c r="P13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1" s="9"/>
      <c r="R131" s="9"/>
      <c r="S131" s="9"/>
      <c r="T131" s="37"/>
      <c r="U131" s="37"/>
      <c r="V131" s="37"/>
      <c r="W131" s="37"/>
      <c r="X131" s="37"/>
      <c r="Y131" s="37"/>
      <c r="Z13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1" s="37"/>
      <c r="AB131" s="66" t="str">
        <f>IF(COUNTA(SalCommune[[#This Row],[Nom]:[heures annuelles
selon contrat(s)]])=0,"",SalCommune[[#This Row],[Total global]]-ABS(SalCommune[[#This Row],[Dont non opposable]]))</f>
        <v/>
      </c>
      <c r="AC131" s="8"/>
      <c r="AD131" s="63"/>
      <c r="AE131" s="430"/>
      <c r="AF131" s="430"/>
      <c r="AG131" s="430"/>
      <c r="AH131" s="181"/>
      <c r="AI131" s="194">
        <f>IF(COUNTA(SalCommune[[#This Row],[N°]:[heures annuelles
selon contrat(s)]])=0,"",REVEX!$E$9)</f>
        <v>0</v>
      </c>
      <c r="AJ131" s="72" t="str">
        <f>IF(SalCommune[[#This Row],[Allocations fonctions]]="","",IF(ISNA(VLOOKUP(SalCommune[[#This Row],[Allocations fonctions]],DROPDOWN[Dropdown82],1,FALSE))=TRUE,"&lt;-- Veuillez choisir l'allocation parmis la liste déroulante.",""))</f>
        <v/>
      </c>
    </row>
    <row r="132" spans="1:36" x14ac:dyDescent="0.25">
      <c r="A132" s="72" t="str">
        <f>IF(SalCommune[[#This Row],[Statut]]="","",IF(ISNA(VLOOKUP(SalCommune[[#This Row],[Statut]],'Grille communale'!$B$3:$B$5,1,FALSE))=TRUE,"Veuillez choisir le statut parmis la liste déroulante",""))</f>
        <v/>
      </c>
      <c r="B132" s="725" t="str">
        <f>IF(SalCommune[[#This Row],[Matricule]]="","",MAX($B$7:B131)+1)</f>
        <v/>
      </c>
      <c r="C132" s="8"/>
      <c r="D132" s="8"/>
      <c r="E132" s="20"/>
      <c r="F132" s="8"/>
      <c r="G132" s="8"/>
      <c r="H132" s="9"/>
      <c r="I132" s="9"/>
      <c r="J132" s="9"/>
      <c r="K132" s="10"/>
      <c r="L132" s="10"/>
      <c r="M132" s="9"/>
      <c r="N132" s="9"/>
      <c r="O132" s="9"/>
      <c r="P13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2" s="9"/>
      <c r="R132" s="9"/>
      <c r="S132" s="9"/>
      <c r="T132" s="37"/>
      <c r="U132" s="37"/>
      <c r="V132" s="37"/>
      <c r="W132" s="37"/>
      <c r="X132" s="37"/>
      <c r="Y132" s="37"/>
      <c r="Z13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2" s="37"/>
      <c r="AB132" s="66" t="str">
        <f>IF(COUNTA(SalCommune[[#This Row],[Nom]:[heures annuelles
selon contrat(s)]])=0,"",SalCommune[[#This Row],[Total global]]-ABS(SalCommune[[#This Row],[Dont non opposable]]))</f>
        <v/>
      </c>
      <c r="AC132" s="8"/>
      <c r="AD132" s="63"/>
      <c r="AE132" s="430"/>
      <c r="AF132" s="430"/>
      <c r="AG132" s="430"/>
      <c r="AH132" s="181"/>
      <c r="AI132" s="194">
        <f>IF(COUNTA(SalCommune[[#This Row],[N°]:[heures annuelles
selon contrat(s)]])=0,"",REVEX!$E$9)</f>
        <v>0</v>
      </c>
      <c r="AJ132" s="72" t="str">
        <f>IF(SalCommune[[#This Row],[Allocations fonctions]]="","",IF(ISNA(VLOOKUP(SalCommune[[#This Row],[Allocations fonctions]],DROPDOWN[Dropdown82],1,FALSE))=TRUE,"&lt;-- Veuillez choisir l'allocation parmis la liste déroulante.",""))</f>
        <v/>
      </c>
    </row>
    <row r="133" spans="1:36" x14ac:dyDescent="0.25">
      <c r="A133" s="72" t="str">
        <f>IF(SalCommune[[#This Row],[Statut]]="","",IF(ISNA(VLOOKUP(SalCommune[[#This Row],[Statut]],'Grille communale'!$B$3:$B$5,1,FALSE))=TRUE,"Veuillez choisir le statut parmis la liste déroulante",""))</f>
        <v/>
      </c>
      <c r="B133" s="725" t="str">
        <f>IF(SalCommune[[#This Row],[Matricule]]="","",MAX($B$7:B132)+1)</f>
        <v/>
      </c>
      <c r="C133" s="8"/>
      <c r="D133" s="8"/>
      <c r="E133" s="20"/>
      <c r="F133" s="8"/>
      <c r="G133" s="8"/>
      <c r="H133" s="9"/>
      <c r="I133" s="9"/>
      <c r="J133" s="9"/>
      <c r="K133" s="10"/>
      <c r="L133" s="10"/>
      <c r="M133" s="9"/>
      <c r="N133" s="9"/>
      <c r="O133" s="9"/>
      <c r="P13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3" s="9"/>
      <c r="R133" s="9"/>
      <c r="S133" s="9"/>
      <c r="T133" s="37"/>
      <c r="U133" s="37"/>
      <c r="V133" s="37"/>
      <c r="W133" s="37"/>
      <c r="X133" s="37"/>
      <c r="Y133" s="37"/>
      <c r="Z13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3" s="37"/>
      <c r="AB133" s="66" t="str">
        <f>IF(COUNTA(SalCommune[[#This Row],[Nom]:[heures annuelles
selon contrat(s)]])=0,"",SalCommune[[#This Row],[Total global]]-ABS(SalCommune[[#This Row],[Dont non opposable]]))</f>
        <v/>
      </c>
      <c r="AC133" s="8"/>
      <c r="AD133" s="63"/>
      <c r="AE133" s="430"/>
      <c r="AF133" s="430"/>
      <c r="AG133" s="430"/>
      <c r="AH133" s="181"/>
      <c r="AI133" s="194">
        <f>IF(COUNTA(SalCommune[[#This Row],[N°]:[heures annuelles
selon contrat(s)]])=0,"",REVEX!$E$9)</f>
        <v>0</v>
      </c>
      <c r="AJ133" s="72" t="str">
        <f>IF(SalCommune[[#This Row],[Allocations fonctions]]="","",IF(ISNA(VLOOKUP(SalCommune[[#This Row],[Allocations fonctions]],DROPDOWN[Dropdown82],1,FALSE))=TRUE,"&lt;-- Veuillez choisir l'allocation parmis la liste déroulante.",""))</f>
        <v/>
      </c>
    </row>
    <row r="134" spans="1:36" x14ac:dyDescent="0.25">
      <c r="A134" s="72" t="str">
        <f>IF(SalCommune[[#This Row],[Statut]]="","",IF(ISNA(VLOOKUP(SalCommune[[#This Row],[Statut]],'Grille communale'!$B$3:$B$5,1,FALSE))=TRUE,"Veuillez choisir le statut parmis la liste déroulante",""))</f>
        <v/>
      </c>
      <c r="B134" s="725" t="str">
        <f>IF(SalCommune[[#This Row],[Matricule]]="","",MAX($B$7:B133)+1)</f>
        <v/>
      </c>
      <c r="C134" s="8"/>
      <c r="D134" s="8"/>
      <c r="E134" s="20"/>
      <c r="F134" s="8"/>
      <c r="G134" s="8"/>
      <c r="H134" s="9"/>
      <c r="I134" s="9"/>
      <c r="J134" s="9"/>
      <c r="K134" s="10"/>
      <c r="L134" s="10"/>
      <c r="M134" s="9"/>
      <c r="N134" s="9"/>
      <c r="O134" s="9"/>
      <c r="P13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4" s="9"/>
      <c r="R134" s="9"/>
      <c r="S134" s="9"/>
      <c r="T134" s="37"/>
      <c r="U134" s="37"/>
      <c r="V134" s="37"/>
      <c r="W134" s="37"/>
      <c r="X134" s="37"/>
      <c r="Y134" s="37"/>
      <c r="Z13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4" s="37"/>
      <c r="AB134" s="66" t="str">
        <f>IF(COUNTA(SalCommune[[#This Row],[Nom]:[heures annuelles
selon contrat(s)]])=0,"",SalCommune[[#This Row],[Total global]]-ABS(SalCommune[[#This Row],[Dont non opposable]]))</f>
        <v/>
      </c>
      <c r="AC134" s="8"/>
      <c r="AD134" s="63"/>
      <c r="AE134" s="430"/>
      <c r="AF134" s="430"/>
      <c r="AG134" s="430"/>
      <c r="AH134" s="181"/>
      <c r="AI134" s="194">
        <f>IF(COUNTA(SalCommune[[#This Row],[N°]:[heures annuelles
selon contrat(s)]])=0,"",REVEX!$E$9)</f>
        <v>0</v>
      </c>
      <c r="AJ134" s="72" t="str">
        <f>IF(SalCommune[[#This Row],[Allocations fonctions]]="","",IF(ISNA(VLOOKUP(SalCommune[[#This Row],[Allocations fonctions]],DROPDOWN[Dropdown82],1,FALSE))=TRUE,"&lt;-- Veuillez choisir l'allocation parmis la liste déroulante.",""))</f>
        <v/>
      </c>
    </row>
    <row r="135" spans="1:36" x14ac:dyDescent="0.25">
      <c r="A135" s="72" t="str">
        <f>IF(SalCommune[[#This Row],[Statut]]="","",IF(ISNA(VLOOKUP(SalCommune[[#This Row],[Statut]],'Grille communale'!$B$3:$B$5,1,FALSE))=TRUE,"Veuillez choisir le statut parmis la liste déroulante",""))</f>
        <v/>
      </c>
      <c r="B135" s="725" t="str">
        <f>IF(SalCommune[[#This Row],[Matricule]]="","",MAX($B$7:B134)+1)</f>
        <v/>
      </c>
      <c r="C135" s="8"/>
      <c r="D135" s="8"/>
      <c r="E135" s="20"/>
      <c r="F135" s="8"/>
      <c r="G135" s="8"/>
      <c r="H135" s="9"/>
      <c r="I135" s="9"/>
      <c r="J135" s="9"/>
      <c r="K135" s="10"/>
      <c r="L135" s="10"/>
      <c r="M135" s="9"/>
      <c r="N135" s="9"/>
      <c r="O135" s="9"/>
      <c r="P13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5" s="9"/>
      <c r="R135" s="9"/>
      <c r="S135" s="9"/>
      <c r="T135" s="37"/>
      <c r="U135" s="37"/>
      <c r="V135" s="37"/>
      <c r="W135" s="37"/>
      <c r="X135" s="37"/>
      <c r="Y135" s="37"/>
      <c r="Z13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5" s="37"/>
      <c r="AB135" s="66" t="str">
        <f>IF(COUNTA(SalCommune[[#This Row],[Nom]:[heures annuelles
selon contrat(s)]])=0,"",SalCommune[[#This Row],[Total global]]-ABS(SalCommune[[#This Row],[Dont non opposable]]))</f>
        <v/>
      </c>
      <c r="AC135" s="8"/>
      <c r="AD135" s="63"/>
      <c r="AE135" s="430"/>
      <c r="AF135" s="430"/>
      <c r="AG135" s="430"/>
      <c r="AH135" s="181"/>
      <c r="AI135" s="194">
        <f>IF(COUNTA(SalCommune[[#This Row],[N°]:[heures annuelles
selon contrat(s)]])=0,"",REVEX!$E$9)</f>
        <v>0</v>
      </c>
      <c r="AJ135" s="72" t="str">
        <f>IF(SalCommune[[#This Row],[Allocations fonctions]]="","",IF(ISNA(VLOOKUP(SalCommune[[#This Row],[Allocations fonctions]],DROPDOWN[Dropdown82],1,FALSE))=TRUE,"&lt;-- Veuillez choisir l'allocation parmis la liste déroulante.",""))</f>
        <v/>
      </c>
    </row>
    <row r="136" spans="1:36" x14ac:dyDescent="0.25">
      <c r="A136" s="72" t="str">
        <f>IF(SalCommune[[#This Row],[Statut]]="","",IF(ISNA(VLOOKUP(SalCommune[[#This Row],[Statut]],'Grille communale'!$B$3:$B$5,1,FALSE))=TRUE,"Veuillez choisir le statut parmis la liste déroulante",""))</f>
        <v/>
      </c>
      <c r="B136" s="725" t="str">
        <f>IF(SalCommune[[#This Row],[Matricule]]="","",MAX($B$7:B135)+1)</f>
        <v/>
      </c>
      <c r="C136" s="8"/>
      <c r="D136" s="8"/>
      <c r="E136" s="20"/>
      <c r="F136" s="8"/>
      <c r="G136" s="8"/>
      <c r="H136" s="9"/>
      <c r="I136" s="9"/>
      <c r="J136" s="9"/>
      <c r="K136" s="10"/>
      <c r="L136" s="10"/>
      <c r="M136" s="9"/>
      <c r="N136" s="9"/>
      <c r="O136" s="9"/>
      <c r="P13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6" s="9"/>
      <c r="R136" s="9"/>
      <c r="S136" s="9"/>
      <c r="T136" s="37"/>
      <c r="U136" s="37"/>
      <c r="V136" s="37"/>
      <c r="W136" s="37"/>
      <c r="X136" s="37"/>
      <c r="Y136" s="37"/>
      <c r="Z13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6" s="37"/>
      <c r="AB136" s="66" t="str">
        <f>IF(COUNTA(SalCommune[[#This Row],[Nom]:[heures annuelles
selon contrat(s)]])=0,"",SalCommune[[#This Row],[Total global]]-ABS(SalCommune[[#This Row],[Dont non opposable]]))</f>
        <v/>
      </c>
      <c r="AC136" s="8"/>
      <c r="AD136" s="63"/>
      <c r="AE136" s="430"/>
      <c r="AF136" s="430"/>
      <c r="AG136" s="430"/>
      <c r="AH136" s="181"/>
      <c r="AI136" s="194">
        <f>IF(COUNTA(SalCommune[[#This Row],[N°]:[heures annuelles
selon contrat(s)]])=0,"",REVEX!$E$9)</f>
        <v>0</v>
      </c>
      <c r="AJ136" s="72" t="str">
        <f>IF(SalCommune[[#This Row],[Allocations fonctions]]="","",IF(ISNA(VLOOKUP(SalCommune[[#This Row],[Allocations fonctions]],DROPDOWN[Dropdown82],1,FALSE))=TRUE,"&lt;-- Veuillez choisir l'allocation parmis la liste déroulante.",""))</f>
        <v/>
      </c>
    </row>
    <row r="137" spans="1:36" x14ac:dyDescent="0.25">
      <c r="A137" s="72" t="str">
        <f>IF(SalCommune[[#This Row],[Statut]]="","",IF(ISNA(VLOOKUP(SalCommune[[#This Row],[Statut]],'Grille communale'!$B$3:$B$5,1,FALSE))=TRUE,"Veuillez choisir le statut parmis la liste déroulante",""))</f>
        <v/>
      </c>
      <c r="B137" s="725" t="str">
        <f>IF(SalCommune[[#This Row],[Matricule]]="","",MAX($B$7:B136)+1)</f>
        <v/>
      </c>
      <c r="C137" s="8"/>
      <c r="D137" s="8"/>
      <c r="E137" s="20"/>
      <c r="F137" s="8"/>
      <c r="G137" s="8"/>
      <c r="H137" s="9"/>
      <c r="I137" s="9"/>
      <c r="J137" s="9"/>
      <c r="K137" s="10"/>
      <c r="L137" s="10"/>
      <c r="M137" s="9"/>
      <c r="N137" s="9"/>
      <c r="O137" s="9"/>
      <c r="P13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7" s="9"/>
      <c r="R137" s="9"/>
      <c r="S137" s="9"/>
      <c r="T137" s="37"/>
      <c r="U137" s="37"/>
      <c r="V137" s="37"/>
      <c r="W137" s="37"/>
      <c r="X137" s="37"/>
      <c r="Y137" s="37"/>
      <c r="Z13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7" s="37"/>
      <c r="AB137" s="66" t="str">
        <f>IF(COUNTA(SalCommune[[#This Row],[Nom]:[heures annuelles
selon contrat(s)]])=0,"",SalCommune[[#This Row],[Total global]]-ABS(SalCommune[[#This Row],[Dont non opposable]]))</f>
        <v/>
      </c>
      <c r="AC137" s="8"/>
      <c r="AD137" s="63"/>
      <c r="AE137" s="430"/>
      <c r="AF137" s="430"/>
      <c r="AG137" s="430"/>
      <c r="AH137" s="181"/>
      <c r="AI137" s="194">
        <f>IF(COUNTA(SalCommune[[#This Row],[N°]:[heures annuelles
selon contrat(s)]])=0,"",REVEX!$E$9)</f>
        <v>0</v>
      </c>
      <c r="AJ137" s="72" t="str">
        <f>IF(SalCommune[[#This Row],[Allocations fonctions]]="","",IF(ISNA(VLOOKUP(SalCommune[[#This Row],[Allocations fonctions]],DROPDOWN[Dropdown82],1,FALSE))=TRUE,"&lt;-- Veuillez choisir l'allocation parmis la liste déroulante.",""))</f>
        <v/>
      </c>
    </row>
    <row r="138" spans="1:36" x14ac:dyDescent="0.25">
      <c r="A138" s="72" t="str">
        <f>IF(SalCommune[[#This Row],[Statut]]="","",IF(ISNA(VLOOKUP(SalCommune[[#This Row],[Statut]],'Grille communale'!$B$3:$B$5,1,FALSE))=TRUE,"Veuillez choisir le statut parmis la liste déroulante",""))</f>
        <v/>
      </c>
      <c r="B138" s="725" t="str">
        <f>IF(SalCommune[[#This Row],[Matricule]]="","",MAX($B$7:B137)+1)</f>
        <v/>
      </c>
      <c r="C138" s="8"/>
      <c r="D138" s="8"/>
      <c r="E138" s="20"/>
      <c r="F138" s="8"/>
      <c r="G138" s="8"/>
      <c r="H138" s="9"/>
      <c r="I138" s="9"/>
      <c r="J138" s="9"/>
      <c r="K138" s="10"/>
      <c r="L138" s="10"/>
      <c r="M138" s="9"/>
      <c r="N138" s="9"/>
      <c r="O138" s="9"/>
      <c r="P13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8" s="9"/>
      <c r="R138" s="9"/>
      <c r="S138" s="9"/>
      <c r="T138" s="37"/>
      <c r="U138" s="37"/>
      <c r="V138" s="37"/>
      <c r="W138" s="37"/>
      <c r="X138" s="37"/>
      <c r="Y138" s="37"/>
      <c r="Z13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8" s="37"/>
      <c r="AB138" s="66" t="str">
        <f>IF(COUNTA(SalCommune[[#This Row],[Nom]:[heures annuelles
selon contrat(s)]])=0,"",SalCommune[[#This Row],[Total global]]-ABS(SalCommune[[#This Row],[Dont non opposable]]))</f>
        <v/>
      </c>
      <c r="AC138" s="8"/>
      <c r="AD138" s="63"/>
      <c r="AE138" s="430"/>
      <c r="AF138" s="430"/>
      <c r="AG138" s="430"/>
      <c r="AH138" s="181"/>
      <c r="AI138" s="194">
        <f>IF(COUNTA(SalCommune[[#This Row],[N°]:[heures annuelles
selon contrat(s)]])=0,"",REVEX!$E$9)</f>
        <v>0</v>
      </c>
      <c r="AJ138" s="72" t="str">
        <f>IF(SalCommune[[#This Row],[Allocations fonctions]]="","",IF(ISNA(VLOOKUP(SalCommune[[#This Row],[Allocations fonctions]],DROPDOWN[Dropdown82],1,FALSE))=TRUE,"&lt;-- Veuillez choisir l'allocation parmis la liste déroulante.",""))</f>
        <v/>
      </c>
    </row>
    <row r="139" spans="1:36" x14ac:dyDescent="0.25">
      <c r="A139" s="72" t="str">
        <f>IF(SalCommune[[#This Row],[Statut]]="","",IF(ISNA(VLOOKUP(SalCommune[[#This Row],[Statut]],'Grille communale'!$B$3:$B$5,1,FALSE))=TRUE,"Veuillez choisir le statut parmis la liste déroulante",""))</f>
        <v/>
      </c>
      <c r="B139" s="725" t="str">
        <f>IF(SalCommune[[#This Row],[Matricule]]="","",MAX($B$7:B138)+1)</f>
        <v/>
      </c>
      <c r="C139" s="8"/>
      <c r="D139" s="8"/>
      <c r="E139" s="20"/>
      <c r="F139" s="8"/>
      <c r="G139" s="8"/>
      <c r="H139" s="9"/>
      <c r="I139" s="9"/>
      <c r="J139" s="9"/>
      <c r="K139" s="10"/>
      <c r="L139" s="10"/>
      <c r="M139" s="9"/>
      <c r="N139" s="9"/>
      <c r="O139" s="9"/>
      <c r="P13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39" s="9"/>
      <c r="R139" s="9"/>
      <c r="S139" s="9"/>
      <c r="T139" s="37"/>
      <c r="U139" s="37"/>
      <c r="V139" s="37"/>
      <c r="W139" s="37"/>
      <c r="X139" s="37"/>
      <c r="Y139" s="37"/>
      <c r="Z13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39" s="37"/>
      <c r="AB139" s="66" t="str">
        <f>IF(COUNTA(SalCommune[[#This Row],[Nom]:[heures annuelles
selon contrat(s)]])=0,"",SalCommune[[#This Row],[Total global]]-ABS(SalCommune[[#This Row],[Dont non opposable]]))</f>
        <v/>
      </c>
      <c r="AC139" s="8"/>
      <c r="AD139" s="63"/>
      <c r="AE139" s="430"/>
      <c r="AF139" s="430"/>
      <c r="AG139" s="430"/>
      <c r="AH139" s="181"/>
      <c r="AI139" s="194">
        <f>IF(COUNTA(SalCommune[[#This Row],[N°]:[heures annuelles
selon contrat(s)]])=0,"",REVEX!$E$9)</f>
        <v>0</v>
      </c>
      <c r="AJ139" s="72" t="str">
        <f>IF(SalCommune[[#This Row],[Allocations fonctions]]="","",IF(ISNA(VLOOKUP(SalCommune[[#This Row],[Allocations fonctions]],DROPDOWN[Dropdown82],1,FALSE))=TRUE,"&lt;-- Veuillez choisir l'allocation parmis la liste déroulante.",""))</f>
        <v/>
      </c>
    </row>
    <row r="140" spans="1:36" x14ac:dyDescent="0.25">
      <c r="A140" s="72" t="str">
        <f>IF(SalCommune[[#This Row],[Statut]]="","",IF(ISNA(VLOOKUP(SalCommune[[#This Row],[Statut]],'Grille communale'!$B$3:$B$5,1,FALSE))=TRUE,"Veuillez choisir le statut parmis la liste déroulante",""))</f>
        <v/>
      </c>
      <c r="B140" s="725" t="str">
        <f>IF(SalCommune[[#This Row],[Matricule]]="","",MAX($B$7:B139)+1)</f>
        <v/>
      </c>
      <c r="C140" s="8"/>
      <c r="D140" s="8"/>
      <c r="E140" s="20"/>
      <c r="F140" s="8"/>
      <c r="G140" s="8"/>
      <c r="H140" s="9"/>
      <c r="I140" s="9"/>
      <c r="J140" s="9"/>
      <c r="K140" s="10"/>
      <c r="L140" s="10"/>
      <c r="M140" s="9"/>
      <c r="N140" s="9"/>
      <c r="O140" s="9"/>
      <c r="P14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0" s="9"/>
      <c r="R140" s="9"/>
      <c r="S140" s="9"/>
      <c r="T140" s="37"/>
      <c r="U140" s="37"/>
      <c r="V140" s="37"/>
      <c r="W140" s="37"/>
      <c r="X140" s="37"/>
      <c r="Y140" s="37"/>
      <c r="Z14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0" s="37"/>
      <c r="AB140" s="66" t="str">
        <f>IF(COUNTA(SalCommune[[#This Row],[Nom]:[heures annuelles
selon contrat(s)]])=0,"",SalCommune[[#This Row],[Total global]]-ABS(SalCommune[[#This Row],[Dont non opposable]]))</f>
        <v/>
      </c>
      <c r="AC140" s="8"/>
      <c r="AD140" s="63"/>
      <c r="AE140" s="430"/>
      <c r="AF140" s="430"/>
      <c r="AG140" s="430"/>
      <c r="AH140" s="181"/>
      <c r="AI140" s="194">
        <f>IF(COUNTA(SalCommune[[#This Row],[N°]:[heures annuelles
selon contrat(s)]])=0,"",REVEX!$E$9)</f>
        <v>0</v>
      </c>
      <c r="AJ140" s="72" t="str">
        <f>IF(SalCommune[[#This Row],[Allocations fonctions]]="","",IF(ISNA(VLOOKUP(SalCommune[[#This Row],[Allocations fonctions]],DROPDOWN[Dropdown82],1,FALSE))=TRUE,"&lt;-- Veuillez choisir l'allocation parmis la liste déroulante.",""))</f>
        <v/>
      </c>
    </row>
    <row r="141" spans="1:36" x14ac:dyDescent="0.25">
      <c r="A141" s="72" t="str">
        <f>IF(SalCommune[[#This Row],[Statut]]="","",IF(ISNA(VLOOKUP(SalCommune[[#This Row],[Statut]],'Grille communale'!$B$3:$B$5,1,FALSE))=TRUE,"Veuillez choisir le statut parmis la liste déroulante",""))</f>
        <v/>
      </c>
      <c r="B141" s="725" t="str">
        <f>IF(SalCommune[[#This Row],[Matricule]]="","",MAX($B$7:B140)+1)</f>
        <v/>
      </c>
      <c r="C141" s="8"/>
      <c r="D141" s="8"/>
      <c r="E141" s="20"/>
      <c r="F141" s="8"/>
      <c r="G141" s="8"/>
      <c r="H141" s="9"/>
      <c r="I141" s="9"/>
      <c r="J141" s="9"/>
      <c r="K141" s="10"/>
      <c r="L141" s="10"/>
      <c r="M141" s="9"/>
      <c r="N141" s="9"/>
      <c r="O141" s="9"/>
      <c r="P14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1" s="9"/>
      <c r="R141" s="9"/>
      <c r="S141" s="9"/>
      <c r="T141" s="37"/>
      <c r="U141" s="37"/>
      <c r="V141" s="37"/>
      <c r="W141" s="37"/>
      <c r="X141" s="37"/>
      <c r="Y141" s="37"/>
      <c r="Z14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1" s="37"/>
      <c r="AB141" s="66" t="str">
        <f>IF(COUNTA(SalCommune[[#This Row],[Nom]:[heures annuelles
selon contrat(s)]])=0,"",SalCommune[[#This Row],[Total global]]-ABS(SalCommune[[#This Row],[Dont non opposable]]))</f>
        <v/>
      </c>
      <c r="AC141" s="8"/>
      <c r="AD141" s="63"/>
      <c r="AE141" s="430"/>
      <c r="AF141" s="430"/>
      <c r="AG141" s="430"/>
      <c r="AH141" s="181"/>
      <c r="AI141" s="194">
        <f>IF(COUNTA(SalCommune[[#This Row],[N°]:[heures annuelles
selon contrat(s)]])=0,"",REVEX!$E$9)</f>
        <v>0</v>
      </c>
      <c r="AJ141" s="72" t="str">
        <f>IF(SalCommune[[#This Row],[Allocations fonctions]]="","",IF(ISNA(VLOOKUP(SalCommune[[#This Row],[Allocations fonctions]],DROPDOWN[Dropdown82],1,FALSE))=TRUE,"&lt;-- Veuillez choisir l'allocation parmis la liste déroulante.",""))</f>
        <v/>
      </c>
    </row>
    <row r="142" spans="1:36" x14ac:dyDescent="0.25">
      <c r="A142" s="72" t="str">
        <f>IF(SalCommune[[#This Row],[Statut]]="","",IF(ISNA(VLOOKUP(SalCommune[[#This Row],[Statut]],'Grille communale'!$B$3:$B$5,1,FALSE))=TRUE,"Veuillez choisir le statut parmis la liste déroulante",""))</f>
        <v/>
      </c>
      <c r="B142" s="725" t="str">
        <f>IF(SalCommune[[#This Row],[Matricule]]="","",MAX($B$7:B141)+1)</f>
        <v/>
      </c>
      <c r="C142" s="8"/>
      <c r="D142" s="8"/>
      <c r="E142" s="20"/>
      <c r="F142" s="8"/>
      <c r="G142" s="8"/>
      <c r="H142" s="9"/>
      <c r="I142" s="9"/>
      <c r="J142" s="9"/>
      <c r="K142" s="10"/>
      <c r="L142" s="10"/>
      <c r="M142" s="9"/>
      <c r="N142" s="9"/>
      <c r="O142" s="9"/>
      <c r="P14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2" s="9"/>
      <c r="R142" s="9"/>
      <c r="S142" s="9"/>
      <c r="T142" s="37"/>
      <c r="U142" s="37"/>
      <c r="V142" s="37"/>
      <c r="W142" s="37"/>
      <c r="X142" s="37"/>
      <c r="Y142" s="37"/>
      <c r="Z14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2" s="37"/>
      <c r="AB142" s="66" t="str">
        <f>IF(COUNTA(SalCommune[[#This Row],[Nom]:[heures annuelles
selon contrat(s)]])=0,"",SalCommune[[#This Row],[Total global]]-ABS(SalCommune[[#This Row],[Dont non opposable]]))</f>
        <v/>
      </c>
      <c r="AC142" s="8"/>
      <c r="AD142" s="63"/>
      <c r="AE142" s="430"/>
      <c r="AF142" s="430"/>
      <c r="AG142" s="430"/>
      <c r="AH142" s="181"/>
      <c r="AI142" s="194">
        <f>IF(COUNTA(SalCommune[[#This Row],[N°]:[heures annuelles
selon contrat(s)]])=0,"",REVEX!$E$9)</f>
        <v>0</v>
      </c>
      <c r="AJ142" s="72" t="str">
        <f>IF(SalCommune[[#This Row],[Allocations fonctions]]="","",IF(ISNA(VLOOKUP(SalCommune[[#This Row],[Allocations fonctions]],DROPDOWN[Dropdown82],1,FALSE))=TRUE,"&lt;-- Veuillez choisir l'allocation parmis la liste déroulante.",""))</f>
        <v/>
      </c>
    </row>
    <row r="143" spans="1:36" x14ac:dyDescent="0.25">
      <c r="A143" s="72" t="str">
        <f>IF(SalCommune[[#This Row],[Statut]]="","",IF(ISNA(VLOOKUP(SalCommune[[#This Row],[Statut]],'Grille communale'!$B$3:$B$5,1,FALSE))=TRUE,"Veuillez choisir le statut parmis la liste déroulante",""))</f>
        <v/>
      </c>
      <c r="B143" s="725" t="str">
        <f>IF(SalCommune[[#This Row],[Matricule]]="","",MAX($B$7:B142)+1)</f>
        <v/>
      </c>
      <c r="C143" s="8"/>
      <c r="D143" s="8"/>
      <c r="E143" s="20"/>
      <c r="F143" s="8"/>
      <c r="G143" s="8"/>
      <c r="H143" s="9"/>
      <c r="I143" s="9"/>
      <c r="J143" s="9"/>
      <c r="K143" s="10"/>
      <c r="L143" s="10"/>
      <c r="M143" s="9"/>
      <c r="N143" s="9"/>
      <c r="O143" s="9"/>
      <c r="P14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3" s="9"/>
      <c r="R143" s="9"/>
      <c r="S143" s="9"/>
      <c r="T143" s="37"/>
      <c r="U143" s="37"/>
      <c r="V143" s="37"/>
      <c r="W143" s="37"/>
      <c r="X143" s="37"/>
      <c r="Y143" s="37"/>
      <c r="Z14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3" s="37"/>
      <c r="AB143" s="66" t="str">
        <f>IF(COUNTA(SalCommune[[#This Row],[Nom]:[heures annuelles
selon contrat(s)]])=0,"",SalCommune[[#This Row],[Total global]]-ABS(SalCommune[[#This Row],[Dont non opposable]]))</f>
        <v/>
      </c>
      <c r="AC143" s="8"/>
      <c r="AD143" s="63"/>
      <c r="AE143" s="430"/>
      <c r="AF143" s="430"/>
      <c r="AG143" s="430"/>
      <c r="AH143" s="181"/>
      <c r="AI143" s="194">
        <f>IF(COUNTA(SalCommune[[#This Row],[N°]:[heures annuelles
selon contrat(s)]])=0,"",REVEX!$E$9)</f>
        <v>0</v>
      </c>
      <c r="AJ143" s="72" t="str">
        <f>IF(SalCommune[[#This Row],[Allocations fonctions]]="","",IF(ISNA(VLOOKUP(SalCommune[[#This Row],[Allocations fonctions]],DROPDOWN[Dropdown82],1,FALSE))=TRUE,"&lt;-- Veuillez choisir l'allocation parmis la liste déroulante.",""))</f>
        <v/>
      </c>
    </row>
    <row r="144" spans="1:36" x14ac:dyDescent="0.25">
      <c r="A144" s="72" t="str">
        <f>IF(SalCommune[[#This Row],[Statut]]="","",IF(ISNA(VLOOKUP(SalCommune[[#This Row],[Statut]],'Grille communale'!$B$3:$B$5,1,FALSE))=TRUE,"Veuillez choisir le statut parmis la liste déroulante",""))</f>
        <v/>
      </c>
      <c r="B144" s="725" t="str">
        <f>IF(SalCommune[[#This Row],[Matricule]]="","",MAX($B$7:B143)+1)</f>
        <v/>
      </c>
      <c r="C144" s="8"/>
      <c r="D144" s="8"/>
      <c r="E144" s="20"/>
      <c r="F144" s="8"/>
      <c r="G144" s="8"/>
      <c r="H144" s="9"/>
      <c r="I144" s="9"/>
      <c r="J144" s="9"/>
      <c r="K144" s="10"/>
      <c r="L144" s="10"/>
      <c r="M144" s="9"/>
      <c r="N144" s="9"/>
      <c r="O144" s="9"/>
      <c r="P14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4" s="9"/>
      <c r="R144" s="9"/>
      <c r="S144" s="9"/>
      <c r="T144" s="37"/>
      <c r="U144" s="37"/>
      <c r="V144" s="37"/>
      <c r="W144" s="37"/>
      <c r="X144" s="37"/>
      <c r="Y144" s="37"/>
      <c r="Z14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4" s="37"/>
      <c r="AB144" s="66" t="str">
        <f>IF(COUNTA(SalCommune[[#This Row],[Nom]:[heures annuelles
selon contrat(s)]])=0,"",SalCommune[[#This Row],[Total global]]-ABS(SalCommune[[#This Row],[Dont non opposable]]))</f>
        <v/>
      </c>
      <c r="AC144" s="8"/>
      <c r="AD144" s="63"/>
      <c r="AE144" s="430"/>
      <c r="AF144" s="430"/>
      <c r="AG144" s="430"/>
      <c r="AH144" s="181"/>
      <c r="AI144" s="194">
        <f>IF(COUNTA(SalCommune[[#This Row],[N°]:[heures annuelles
selon contrat(s)]])=0,"",REVEX!$E$9)</f>
        <v>0</v>
      </c>
      <c r="AJ144" s="72" t="str">
        <f>IF(SalCommune[[#This Row],[Allocations fonctions]]="","",IF(ISNA(VLOOKUP(SalCommune[[#This Row],[Allocations fonctions]],DROPDOWN[Dropdown82],1,FALSE))=TRUE,"&lt;-- Veuillez choisir l'allocation parmis la liste déroulante.",""))</f>
        <v/>
      </c>
    </row>
    <row r="145" spans="1:36" x14ac:dyDescent="0.25">
      <c r="A145" s="72" t="str">
        <f>IF(SalCommune[[#This Row],[Statut]]="","",IF(ISNA(VLOOKUP(SalCommune[[#This Row],[Statut]],'Grille communale'!$B$3:$B$5,1,FALSE))=TRUE,"Veuillez choisir le statut parmis la liste déroulante",""))</f>
        <v/>
      </c>
      <c r="B145" s="725" t="str">
        <f>IF(SalCommune[[#This Row],[Matricule]]="","",MAX($B$7:B144)+1)</f>
        <v/>
      </c>
      <c r="C145" s="8"/>
      <c r="D145" s="8"/>
      <c r="E145" s="20"/>
      <c r="F145" s="8"/>
      <c r="G145" s="8"/>
      <c r="H145" s="9"/>
      <c r="I145" s="9"/>
      <c r="J145" s="9"/>
      <c r="K145" s="10"/>
      <c r="L145" s="10"/>
      <c r="M145" s="9"/>
      <c r="N145" s="9"/>
      <c r="O145" s="9"/>
      <c r="P14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5" s="9"/>
      <c r="R145" s="9"/>
      <c r="S145" s="9"/>
      <c r="T145" s="37"/>
      <c r="U145" s="37"/>
      <c r="V145" s="37"/>
      <c r="W145" s="37"/>
      <c r="X145" s="37"/>
      <c r="Y145" s="37"/>
      <c r="Z14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5" s="37"/>
      <c r="AB145" s="66" t="str">
        <f>IF(COUNTA(SalCommune[[#This Row],[Nom]:[heures annuelles
selon contrat(s)]])=0,"",SalCommune[[#This Row],[Total global]]-ABS(SalCommune[[#This Row],[Dont non opposable]]))</f>
        <v/>
      </c>
      <c r="AC145" s="8"/>
      <c r="AD145" s="63"/>
      <c r="AE145" s="430"/>
      <c r="AF145" s="430"/>
      <c r="AG145" s="430"/>
      <c r="AH145" s="181"/>
      <c r="AI145" s="194">
        <f>IF(COUNTA(SalCommune[[#This Row],[N°]:[heures annuelles
selon contrat(s)]])=0,"",REVEX!$E$9)</f>
        <v>0</v>
      </c>
      <c r="AJ145" s="72" t="str">
        <f>IF(SalCommune[[#This Row],[Allocations fonctions]]="","",IF(ISNA(VLOOKUP(SalCommune[[#This Row],[Allocations fonctions]],DROPDOWN[Dropdown82],1,FALSE))=TRUE,"&lt;-- Veuillez choisir l'allocation parmis la liste déroulante.",""))</f>
        <v/>
      </c>
    </row>
    <row r="146" spans="1:36" x14ac:dyDescent="0.25">
      <c r="A146" s="72" t="str">
        <f>IF(SalCommune[[#This Row],[Statut]]="","",IF(ISNA(VLOOKUP(SalCommune[[#This Row],[Statut]],'Grille communale'!$B$3:$B$5,1,FALSE))=TRUE,"Veuillez choisir le statut parmis la liste déroulante",""))</f>
        <v/>
      </c>
      <c r="B146" s="725" t="str">
        <f>IF(SalCommune[[#This Row],[Matricule]]="","",MAX($B$7:B145)+1)</f>
        <v/>
      </c>
      <c r="C146" s="8"/>
      <c r="D146" s="8"/>
      <c r="E146" s="20"/>
      <c r="F146" s="8"/>
      <c r="G146" s="8"/>
      <c r="H146" s="9"/>
      <c r="I146" s="9"/>
      <c r="J146" s="9"/>
      <c r="K146" s="10"/>
      <c r="L146" s="10"/>
      <c r="M146" s="9"/>
      <c r="N146" s="9"/>
      <c r="O146" s="9"/>
      <c r="P14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6" s="9"/>
      <c r="R146" s="9"/>
      <c r="S146" s="9"/>
      <c r="T146" s="37"/>
      <c r="U146" s="37"/>
      <c r="V146" s="37"/>
      <c r="W146" s="37"/>
      <c r="X146" s="37"/>
      <c r="Y146" s="37"/>
      <c r="Z14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6" s="37"/>
      <c r="AB146" s="66" t="str">
        <f>IF(COUNTA(SalCommune[[#This Row],[Nom]:[heures annuelles
selon contrat(s)]])=0,"",SalCommune[[#This Row],[Total global]]-ABS(SalCommune[[#This Row],[Dont non opposable]]))</f>
        <v/>
      </c>
      <c r="AC146" s="8"/>
      <c r="AD146" s="63"/>
      <c r="AE146" s="430"/>
      <c r="AF146" s="430"/>
      <c r="AG146" s="430"/>
      <c r="AH146" s="181"/>
      <c r="AI146" s="194">
        <f>IF(COUNTA(SalCommune[[#This Row],[N°]:[heures annuelles
selon contrat(s)]])=0,"",REVEX!$E$9)</f>
        <v>0</v>
      </c>
      <c r="AJ146" s="72" t="str">
        <f>IF(SalCommune[[#This Row],[Allocations fonctions]]="","",IF(ISNA(VLOOKUP(SalCommune[[#This Row],[Allocations fonctions]],DROPDOWN[Dropdown82],1,FALSE))=TRUE,"&lt;-- Veuillez choisir l'allocation parmis la liste déroulante.",""))</f>
        <v/>
      </c>
    </row>
    <row r="147" spans="1:36" x14ac:dyDescent="0.25">
      <c r="A147" s="72" t="str">
        <f>IF(SalCommune[[#This Row],[Statut]]="","",IF(ISNA(VLOOKUP(SalCommune[[#This Row],[Statut]],'Grille communale'!$B$3:$B$5,1,FALSE))=TRUE,"Veuillez choisir le statut parmis la liste déroulante",""))</f>
        <v/>
      </c>
      <c r="B147" s="725" t="str">
        <f>IF(SalCommune[[#This Row],[Matricule]]="","",MAX($B$7:B146)+1)</f>
        <v/>
      </c>
      <c r="C147" s="8"/>
      <c r="D147" s="8"/>
      <c r="E147" s="20"/>
      <c r="F147" s="8"/>
      <c r="G147" s="8"/>
      <c r="H147" s="9"/>
      <c r="I147" s="9"/>
      <c r="J147" s="9"/>
      <c r="K147" s="10"/>
      <c r="L147" s="10"/>
      <c r="M147" s="9"/>
      <c r="N147" s="9"/>
      <c r="O147" s="9"/>
      <c r="P14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7" s="9"/>
      <c r="R147" s="9"/>
      <c r="S147" s="9"/>
      <c r="T147" s="37"/>
      <c r="U147" s="37"/>
      <c r="V147" s="37"/>
      <c r="W147" s="37"/>
      <c r="X147" s="37"/>
      <c r="Y147" s="37"/>
      <c r="Z14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7" s="37"/>
      <c r="AB147" s="66" t="str">
        <f>IF(COUNTA(SalCommune[[#This Row],[Nom]:[heures annuelles
selon contrat(s)]])=0,"",SalCommune[[#This Row],[Total global]]-ABS(SalCommune[[#This Row],[Dont non opposable]]))</f>
        <v/>
      </c>
      <c r="AC147" s="8"/>
      <c r="AD147" s="63"/>
      <c r="AE147" s="430"/>
      <c r="AF147" s="430"/>
      <c r="AG147" s="430"/>
      <c r="AH147" s="181"/>
      <c r="AI147" s="194">
        <f>IF(COUNTA(SalCommune[[#This Row],[N°]:[heures annuelles
selon contrat(s)]])=0,"",REVEX!$E$9)</f>
        <v>0</v>
      </c>
      <c r="AJ147" s="72" t="str">
        <f>IF(SalCommune[[#This Row],[Allocations fonctions]]="","",IF(ISNA(VLOOKUP(SalCommune[[#This Row],[Allocations fonctions]],DROPDOWN[Dropdown82],1,FALSE))=TRUE,"&lt;-- Veuillez choisir l'allocation parmis la liste déroulante.",""))</f>
        <v/>
      </c>
    </row>
    <row r="148" spans="1:36" x14ac:dyDescent="0.25">
      <c r="A148" s="72" t="str">
        <f>IF(SalCommune[[#This Row],[Statut]]="","",IF(ISNA(VLOOKUP(SalCommune[[#This Row],[Statut]],'Grille communale'!$B$3:$B$5,1,FALSE))=TRUE,"Veuillez choisir le statut parmis la liste déroulante",""))</f>
        <v/>
      </c>
      <c r="B148" s="725" t="str">
        <f>IF(SalCommune[[#This Row],[Matricule]]="","",MAX($B$7:B147)+1)</f>
        <v/>
      </c>
      <c r="C148" s="8"/>
      <c r="D148" s="8"/>
      <c r="E148" s="20"/>
      <c r="F148" s="8"/>
      <c r="G148" s="8"/>
      <c r="H148" s="9"/>
      <c r="I148" s="9"/>
      <c r="J148" s="9"/>
      <c r="K148" s="10"/>
      <c r="L148" s="10"/>
      <c r="M148" s="9"/>
      <c r="N148" s="9"/>
      <c r="O148" s="9"/>
      <c r="P14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8" s="9"/>
      <c r="R148" s="9"/>
      <c r="S148" s="9"/>
      <c r="T148" s="37"/>
      <c r="U148" s="37"/>
      <c r="V148" s="37"/>
      <c r="W148" s="37"/>
      <c r="X148" s="37"/>
      <c r="Y148" s="37"/>
      <c r="Z14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8" s="37"/>
      <c r="AB148" s="66" t="str">
        <f>IF(COUNTA(SalCommune[[#This Row],[Nom]:[heures annuelles
selon contrat(s)]])=0,"",SalCommune[[#This Row],[Total global]]-ABS(SalCommune[[#This Row],[Dont non opposable]]))</f>
        <v/>
      </c>
      <c r="AC148" s="8"/>
      <c r="AD148" s="63"/>
      <c r="AE148" s="430"/>
      <c r="AF148" s="430"/>
      <c r="AG148" s="430"/>
      <c r="AH148" s="181"/>
      <c r="AI148" s="194">
        <f>IF(COUNTA(SalCommune[[#This Row],[N°]:[heures annuelles
selon contrat(s)]])=0,"",REVEX!$E$9)</f>
        <v>0</v>
      </c>
      <c r="AJ148" s="72" t="str">
        <f>IF(SalCommune[[#This Row],[Allocations fonctions]]="","",IF(ISNA(VLOOKUP(SalCommune[[#This Row],[Allocations fonctions]],DROPDOWN[Dropdown82],1,FALSE))=TRUE,"&lt;-- Veuillez choisir l'allocation parmis la liste déroulante.",""))</f>
        <v/>
      </c>
    </row>
    <row r="149" spans="1:36" x14ac:dyDescent="0.25">
      <c r="A149" s="72" t="str">
        <f>IF(SalCommune[[#This Row],[Statut]]="","",IF(ISNA(VLOOKUP(SalCommune[[#This Row],[Statut]],'Grille communale'!$B$3:$B$5,1,FALSE))=TRUE,"Veuillez choisir le statut parmis la liste déroulante",""))</f>
        <v/>
      </c>
      <c r="B149" s="725" t="str">
        <f>IF(SalCommune[[#This Row],[Matricule]]="","",MAX($B$7:B148)+1)</f>
        <v/>
      </c>
      <c r="C149" s="8"/>
      <c r="D149" s="8"/>
      <c r="E149" s="20"/>
      <c r="F149" s="8"/>
      <c r="G149" s="8"/>
      <c r="H149" s="9"/>
      <c r="I149" s="9"/>
      <c r="J149" s="9"/>
      <c r="K149" s="10"/>
      <c r="L149" s="10"/>
      <c r="M149" s="9"/>
      <c r="N149" s="9"/>
      <c r="O149" s="9"/>
      <c r="P14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49" s="9"/>
      <c r="R149" s="9"/>
      <c r="S149" s="9"/>
      <c r="T149" s="37"/>
      <c r="U149" s="37"/>
      <c r="V149" s="37"/>
      <c r="W149" s="37"/>
      <c r="X149" s="37"/>
      <c r="Y149" s="37"/>
      <c r="Z14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49" s="37"/>
      <c r="AB149" s="66" t="str">
        <f>IF(COUNTA(SalCommune[[#This Row],[Nom]:[heures annuelles
selon contrat(s)]])=0,"",SalCommune[[#This Row],[Total global]]-ABS(SalCommune[[#This Row],[Dont non opposable]]))</f>
        <v/>
      </c>
      <c r="AC149" s="8"/>
      <c r="AD149" s="63"/>
      <c r="AE149" s="430"/>
      <c r="AF149" s="430"/>
      <c r="AG149" s="430"/>
      <c r="AH149" s="181"/>
      <c r="AI149" s="194">
        <f>IF(COUNTA(SalCommune[[#This Row],[N°]:[heures annuelles
selon contrat(s)]])=0,"",REVEX!$E$9)</f>
        <v>0</v>
      </c>
      <c r="AJ149" s="72" t="str">
        <f>IF(SalCommune[[#This Row],[Allocations fonctions]]="","",IF(ISNA(VLOOKUP(SalCommune[[#This Row],[Allocations fonctions]],DROPDOWN[Dropdown82],1,FALSE))=TRUE,"&lt;-- Veuillez choisir l'allocation parmis la liste déroulante.",""))</f>
        <v/>
      </c>
    </row>
    <row r="150" spans="1:36" x14ac:dyDescent="0.25">
      <c r="A150" s="72" t="str">
        <f>IF(SalCommune[[#This Row],[Statut]]="","",IF(ISNA(VLOOKUP(SalCommune[[#This Row],[Statut]],'Grille communale'!$B$3:$B$5,1,FALSE))=TRUE,"Veuillez choisir le statut parmis la liste déroulante",""))</f>
        <v/>
      </c>
      <c r="B150" s="725" t="str">
        <f>IF(SalCommune[[#This Row],[Matricule]]="","",MAX($B$7:B149)+1)</f>
        <v/>
      </c>
      <c r="C150" s="8"/>
      <c r="D150" s="8"/>
      <c r="E150" s="20"/>
      <c r="F150" s="8"/>
      <c r="G150" s="8"/>
      <c r="H150" s="9"/>
      <c r="I150" s="9"/>
      <c r="J150" s="9"/>
      <c r="K150" s="10"/>
      <c r="L150" s="10"/>
      <c r="M150" s="9"/>
      <c r="N150" s="9"/>
      <c r="O150" s="9"/>
      <c r="P15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0" s="9"/>
      <c r="R150" s="9"/>
      <c r="S150" s="9"/>
      <c r="T150" s="37"/>
      <c r="U150" s="37"/>
      <c r="V150" s="37"/>
      <c r="W150" s="37"/>
      <c r="X150" s="37"/>
      <c r="Y150" s="37"/>
      <c r="Z15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0" s="37"/>
      <c r="AB150" s="66" t="str">
        <f>IF(COUNTA(SalCommune[[#This Row],[Nom]:[heures annuelles
selon contrat(s)]])=0,"",SalCommune[[#This Row],[Total global]]-ABS(SalCommune[[#This Row],[Dont non opposable]]))</f>
        <v/>
      </c>
      <c r="AC150" s="8"/>
      <c r="AD150" s="63"/>
      <c r="AE150" s="430"/>
      <c r="AF150" s="430"/>
      <c r="AG150" s="430"/>
      <c r="AH150" s="181"/>
      <c r="AI150" s="194">
        <f>IF(COUNTA(SalCommune[[#This Row],[N°]:[heures annuelles
selon contrat(s)]])=0,"",REVEX!$E$9)</f>
        <v>0</v>
      </c>
      <c r="AJ150" s="72" t="str">
        <f>IF(SalCommune[[#This Row],[Allocations fonctions]]="","",IF(ISNA(VLOOKUP(SalCommune[[#This Row],[Allocations fonctions]],DROPDOWN[Dropdown82],1,FALSE))=TRUE,"&lt;-- Veuillez choisir l'allocation parmis la liste déroulante.",""))</f>
        <v/>
      </c>
    </row>
    <row r="151" spans="1:36" x14ac:dyDescent="0.25">
      <c r="A151" s="72" t="str">
        <f>IF(SalCommune[[#This Row],[Statut]]="","",IF(ISNA(VLOOKUP(SalCommune[[#This Row],[Statut]],'Grille communale'!$B$3:$B$5,1,FALSE))=TRUE,"Veuillez choisir le statut parmis la liste déroulante",""))</f>
        <v/>
      </c>
      <c r="B151" s="725" t="str">
        <f>IF(SalCommune[[#This Row],[Matricule]]="","",MAX($B$7:B150)+1)</f>
        <v/>
      </c>
      <c r="C151" s="8"/>
      <c r="D151" s="8"/>
      <c r="E151" s="20"/>
      <c r="F151" s="8"/>
      <c r="G151" s="8"/>
      <c r="H151" s="9"/>
      <c r="I151" s="9"/>
      <c r="J151" s="9"/>
      <c r="K151" s="10"/>
      <c r="L151" s="10"/>
      <c r="M151" s="9"/>
      <c r="N151" s="9"/>
      <c r="O151" s="9"/>
      <c r="P15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1" s="9"/>
      <c r="R151" s="9"/>
      <c r="S151" s="9"/>
      <c r="T151" s="37"/>
      <c r="U151" s="37"/>
      <c r="V151" s="37"/>
      <c r="W151" s="37"/>
      <c r="X151" s="37"/>
      <c r="Y151" s="37"/>
      <c r="Z15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1" s="37"/>
      <c r="AB151" s="66" t="str">
        <f>IF(COUNTA(SalCommune[[#This Row],[Nom]:[heures annuelles
selon contrat(s)]])=0,"",SalCommune[[#This Row],[Total global]]-ABS(SalCommune[[#This Row],[Dont non opposable]]))</f>
        <v/>
      </c>
      <c r="AC151" s="8"/>
      <c r="AD151" s="63"/>
      <c r="AE151" s="430"/>
      <c r="AF151" s="430"/>
      <c r="AG151" s="430"/>
      <c r="AH151" s="181"/>
      <c r="AI151" s="194">
        <f>IF(COUNTA(SalCommune[[#This Row],[N°]:[heures annuelles
selon contrat(s)]])=0,"",REVEX!$E$9)</f>
        <v>0</v>
      </c>
      <c r="AJ151" s="72" t="str">
        <f>IF(SalCommune[[#This Row],[Allocations fonctions]]="","",IF(ISNA(VLOOKUP(SalCommune[[#This Row],[Allocations fonctions]],DROPDOWN[Dropdown82],1,FALSE))=TRUE,"&lt;-- Veuillez choisir l'allocation parmis la liste déroulante.",""))</f>
        <v/>
      </c>
    </row>
    <row r="152" spans="1:36" x14ac:dyDescent="0.25">
      <c r="A152" s="72" t="str">
        <f>IF(SalCommune[[#This Row],[Statut]]="","",IF(ISNA(VLOOKUP(SalCommune[[#This Row],[Statut]],'Grille communale'!$B$3:$B$5,1,FALSE))=TRUE,"Veuillez choisir le statut parmis la liste déroulante",""))</f>
        <v/>
      </c>
      <c r="B152" s="725" t="str">
        <f>IF(SalCommune[[#This Row],[Matricule]]="","",MAX($B$7:B151)+1)</f>
        <v/>
      </c>
      <c r="C152" s="8"/>
      <c r="D152" s="8"/>
      <c r="E152" s="20"/>
      <c r="F152" s="8"/>
      <c r="G152" s="8"/>
      <c r="H152" s="9"/>
      <c r="I152" s="9"/>
      <c r="J152" s="9"/>
      <c r="K152" s="10"/>
      <c r="L152" s="10"/>
      <c r="M152" s="9"/>
      <c r="N152" s="9"/>
      <c r="O152" s="9"/>
      <c r="P15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2" s="9"/>
      <c r="R152" s="9"/>
      <c r="S152" s="9"/>
      <c r="T152" s="37"/>
      <c r="U152" s="37"/>
      <c r="V152" s="37"/>
      <c r="W152" s="37"/>
      <c r="X152" s="37"/>
      <c r="Y152" s="37"/>
      <c r="Z15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2" s="37"/>
      <c r="AB152" s="66" t="str">
        <f>IF(COUNTA(SalCommune[[#This Row],[Nom]:[heures annuelles
selon contrat(s)]])=0,"",SalCommune[[#This Row],[Total global]]-ABS(SalCommune[[#This Row],[Dont non opposable]]))</f>
        <v/>
      </c>
      <c r="AC152" s="8"/>
      <c r="AD152" s="63"/>
      <c r="AE152" s="430"/>
      <c r="AF152" s="430"/>
      <c r="AG152" s="430"/>
      <c r="AH152" s="181"/>
      <c r="AI152" s="194">
        <f>IF(COUNTA(SalCommune[[#This Row],[N°]:[heures annuelles
selon contrat(s)]])=0,"",REVEX!$E$9)</f>
        <v>0</v>
      </c>
      <c r="AJ152" s="72" t="str">
        <f>IF(SalCommune[[#This Row],[Allocations fonctions]]="","",IF(ISNA(VLOOKUP(SalCommune[[#This Row],[Allocations fonctions]],DROPDOWN[Dropdown82],1,FALSE))=TRUE,"&lt;-- Veuillez choisir l'allocation parmis la liste déroulante.",""))</f>
        <v/>
      </c>
    </row>
    <row r="153" spans="1:36" x14ac:dyDescent="0.25">
      <c r="A153" s="72" t="str">
        <f>IF(SalCommune[[#This Row],[Statut]]="","",IF(ISNA(VLOOKUP(SalCommune[[#This Row],[Statut]],'Grille communale'!$B$3:$B$5,1,FALSE))=TRUE,"Veuillez choisir le statut parmis la liste déroulante",""))</f>
        <v/>
      </c>
      <c r="B153" s="725" t="str">
        <f>IF(SalCommune[[#This Row],[Matricule]]="","",MAX($B$7:B152)+1)</f>
        <v/>
      </c>
      <c r="C153" s="8"/>
      <c r="D153" s="8"/>
      <c r="E153" s="20"/>
      <c r="F153" s="8"/>
      <c r="G153" s="8"/>
      <c r="H153" s="9"/>
      <c r="I153" s="9"/>
      <c r="J153" s="9"/>
      <c r="K153" s="10"/>
      <c r="L153" s="10"/>
      <c r="M153" s="9"/>
      <c r="N153" s="9"/>
      <c r="O153" s="9"/>
      <c r="P15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3" s="9"/>
      <c r="R153" s="9"/>
      <c r="S153" s="9"/>
      <c r="T153" s="37"/>
      <c r="U153" s="37"/>
      <c r="V153" s="37"/>
      <c r="W153" s="37"/>
      <c r="X153" s="37"/>
      <c r="Y153" s="37"/>
      <c r="Z15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3" s="37"/>
      <c r="AB153" s="66" t="str">
        <f>IF(COUNTA(SalCommune[[#This Row],[Nom]:[heures annuelles
selon contrat(s)]])=0,"",SalCommune[[#This Row],[Total global]]-ABS(SalCommune[[#This Row],[Dont non opposable]]))</f>
        <v/>
      </c>
      <c r="AC153" s="8"/>
      <c r="AD153" s="63"/>
      <c r="AE153" s="430"/>
      <c r="AF153" s="430"/>
      <c r="AG153" s="430"/>
      <c r="AH153" s="181"/>
      <c r="AI153" s="194">
        <f>IF(COUNTA(SalCommune[[#This Row],[N°]:[heures annuelles
selon contrat(s)]])=0,"",REVEX!$E$9)</f>
        <v>0</v>
      </c>
      <c r="AJ153" s="72" t="str">
        <f>IF(SalCommune[[#This Row],[Allocations fonctions]]="","",IF(ISNA(VLOOKUP(SalCommune[[#This Row],[Allocations fonctions]],DROPDOWN[Dropdown82],1,FALSE))=TRUE,"&lt;-- Veuillez choisir l'allocation parmis la liste déroulante.",""))</f>
        <v/>
      </c>
    </row>
    <row r="154" spans="1:36" x14ac:dyDescent="0.25">
      <c r="A154" s="72" t="str">
        <f>IF(SalCommune[[#This Row],[Statut]]="","",IF(ISNA(VLOOKUP(SalCommune[[#This Row],[Statut]],'Grille communale'!$B$3:$B$5,1,FALSE))=TRUE,"Veuillez choisir le statut parmis la liste déroulante",""))</f>
        <v/>
      </c>
      <c r="B154" s="725" t="str">
        <f>IF(SalCommune[[#This Row],[Matricule]]="","",MAX($B$7:B153)+1)</f>
        <v/>
      </c>
      <c r="C154" s="8"/>
      <c r="D154" s="8"/>
      <c r="E154" s="20"/>
      <c r="F154" s="8"/>
      <c r="G154" s="8"/>
      <c r="H154" s="9"/>
      <c r="I154" s="9"/>
      <c r="J154" s="9"/>
      <c r="K154" s="10"/>
      <c r="L154" s="10"/>
      <c r="M154" s="9"/>
      <c r="N154" s="9"/>
      <c r="O154" s="9"/>
      <c r="P15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4" s="9"/>
      <c r="R154" s="9"/>
      <c r="S154" s="9"/>
      <c r="T154" s="37"/>
      <c r="U154" s="37"/>
      <c r="V154" s="37"/>
      <c r="W154" s="37"/>
      <c r="X154" s="37"/>
      <c r="Y154" s="37"/>
      <c r="Z15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4" s="37"/>
      <c r="AB154" s="66" t="str">
        <f>IF(COUNTA(SalCommune[[#This Row],[Nom]:[heures annuelles
selon contrat(s)]])=0,"",SalCommune[[#This Row],[Total global]]-ABS(SalCommune[[#This Row],[Dont non opposable]]))</f>
        <v/>
      </c>
      <c r="AC154" s="8"/>
      <c r="AD154" s="63"/>
      <c r="AE154" s="430"/>
      <c r="AF154" s="430"/>
      <c r="AG154" s="430"/>
      <c r="AH154" s="181"/>
      <c r="AI154" s="194">
        <f>IF(COUNTA(SalCommune[[#This Row],[N°]:[heures annuelles
selon contrat(s)]])=0,"",REVEX!$E$9)</f>
        <v>0</v>
      </c>
      <c r="AJ154" s="72" t="str">
        <f>IF(SalCommune[[#This Row],[Allocations fonctions]]="","",IF(ISNA(VLOOKUP(SalCommune[[#This Row],[Allocations fonctions]],DROPDOWN[Dropdown82],1,FALSE))=TRUE,"&lt;-- Veuillez choisir l'allocation parmis la liste déroulante.",""))</f>
        <v/>
      </c>
    </row>
    <row r="155" spans="1:36" x14ac:dyDescent="0.25">
      <c r="A155" s="72" t="str">
        <f>IF(SalCommune[[#This Row],[Statut]]="","",IF(ISNA(VLOOKUP(SalCommune[[#This Row],[Statut]],'Grille communale'!$B$3:$B$5,1,FALSE))=TRUE,"Veuillez choisir le statut parmis la liste déroulante",""))</f>
        <v/>
      </c>
      <c r="B155" s="725" t="str">
        <f>IF(SalCommune[[#This Row],[Matricule]]="","",MAX($B$7:B154)+1)</f>
        <v/>
      </c>
      <c r="C155" s="8"/>
      <c r="D155" s="8"/>
      <c r="E155" s="20"/>
      <c r="F155" s="8"/>
      <c r="G155" s="8"/>
      <c r="H155" s="9"/>
      <c r="I155" s="9"/>
      <c r="J155" s="9"/>
      <c r="K155" s="10"/>
      <c r="L155" s="10"/>
      <c r="M155" s="9"/>
      <c r="N155" s="9"/>
      <c r="O155" s="9"/>
      <c r="P15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5" s="9"/>
      <c r="R155" s="9"/>
      <c r="S155" s="9"/>
      <c r="T155" s="37"/>
      <c r="U155" s="37"/>
      <c r="V155" s="37"/>
      <c r="W155" s="37"/>
      <c r="X155" s="37"/>
      <c r="Y155" s="37"/>
      <c r="Z15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5" s="37"/>
      <c r="AB155" s="66" t="str">
        <f>IF(COUNTA(SalCommune[[#This Row],[Nom]:[heures annuelles
selon contrat(s)]])=0,"",SalCommune[[#This Row],[Total global]]-ABS(SalCommune[[#This Row],[Dont non opposable]]))</f>
        <v/>
      </c>
      <c r="AC155" s="8"/>
      <c r="AD155" s="63"/>
      <c r="AE155" s="430"/>
      <c r="AF155" s="430"/>
      <c r="AG155" s="430"/>
      <c r="AH155" s="181"/>
      <c r="AI155" s="194">
        <f>IF(COUNTA(SalCommune[[#This Row],[N°]:[heures annuelles
selon contrat(s)]])=0,"",REVEX!$E$9)</f>
        <v>0</v>
      </c>
      <c r="AJ155" s="72" t="str">
        <f>IF(SalCommune[[#This Row],[Allocations fonctions]]="","",IF(ISNA(VLOOKUP(SalCommune[[#This Row],[Allocations fonctions]],DROPDOWN[Dropdown82],1,FALSE))=TRUE,"&lt;-- Veuillez choisir l'allocation parmis la liste déroulante.",""))</f>
        <v/>
      </c>
    </row>
    <row r="156" spans="1:36" x14ac:dyDescent="0.25">
      <c r="A156" s="72" t="str">
        <f>IF(SalCommune[[#This Row],[Statut]]="","",IF(ISNA(VLOOKUP(SalCommune[[#This Row],[Statut]],'Grille communale'!$B$3:$B$5,1,FALSE))=TRUE,"Veuillez choisir le statut parmis la liste déroulante",""))</f>
        <v/>
      </c>
      <c r="B156" s="725" t="str">
        <f>IF(SalCommune[[#This Row],[Matricule]]="","",MAX($B$7:B155)+1)</f>
        <v/>
      </c>
      <c r="C156" s="8"/>
      <c r="D156" s="8"/>
      <c r="E156" s="20"/>
      <c r="F156" s="8"/>
      <c r="G156" s="8"/>
      <c r="H156" s="9"/>
      <c r="I156" s="9"/>
      <c r="J156" s="9"/>
      <c r="K156" s="10"/>
      <c r="L156" s="10"/>
      <c r="M156" s="9"/>
      <c r="N156" s="9"/>
      <c r="O156" s="9"/>
      <c r="P15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6" s="9"/>
      <c r="R156" s="9"/>
      <c r="S156" s="9"/>
      <c r="T156" s="37"/>
      <c r="U156" s="37"/>
      <c r="V156" s="37"/>
      <c r="W156" s="37"/>
      <c r="X156" s="37"/>
      <c r="Y156" s="37"/>
      <c r="Z15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6" s="37"/>
      <c r="AB156" s="66" t="str">
        <f>IF(COUNTA(SalCommune[[#This Row],[Nom]:[heures annuelles
selon contrat(s)]])=0,"",SalCommune[[#This Row],[Total global]]-ABS(SalCommune[[#This Row],[Dont non opposable]]))</f>
        <v/>
      </c>
      <c r="AC156" s="8"/>
      <c r="AD156" s="63"/>
      <c r="AE156" s="430"/>
      <c r="AF156" s="430"/>
      <c r="AG156" s="430"/>
      <c r="AH156" s="181"/>
      <c r="AI156" s="194">
        <f>IF(COUNTA(SalCommune[[#This Row],[N°]:[heures annuelles
selon contrat(s)]])=0,"",REVEX!$E$9)</f>
        <v>0</v>
      </c>
      <c r="AJ156" s="72" t="str">
        <f>IF(SalCommune[[#This Row],[Allocations fonctions]]="","",IF(ISNA(VLOOKUP(SalCommune[[#This Row],[Allocations fonctions]],DROPDOWN[Dropdown82],1,FALSE))=TRUE,"&lt;-- Veuillez choisir l'allocation parmis la liste déroulante.",""))</f>
        <v/>
      </c>
    </row>
    <row r="157" spans="1:36" x14ac:dyDescent="0.25">
      <c r="A157" s="72" t="str">
        <f>IF(SalCommune[[#This Row],[Statut]]="","",IF(ISNA(VLOOKUP(SalCommune[[#This Row],[Statut]],'Grille communale'!$B$3:$B$5,1,FALSE))=TRUE,"Veuillez choisir le statut parmis la liste déroulante",""))</f>
        <v/>
      </c>
      <c r="B157" s="725" t="str">
        <f>IF(SalCommune[[#This Row],[Matricule]]="","",MAX($B$7:B156)+1)</f>
        <v/>
      </c>
      <c r="C157" s="8"/>
      <c r="D157" s="8"/>
      <c r="E157" s="20"/>
      <c r="F157" s="8"/>
      <c r="G157" s="8"/>
      <c r="H157" s="9"/>
      <c r="I157" s="9"/>
      <c r="J157" s="9"/>
      <c r="K157" s="10"/>
      <c r="L157" s="10"/>
      <c r="M157" s="9"/>
      <c r="N157" s="9"/>
      <c r="O157" s="9"/>
      <c r="P15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7" s="9"/>
      <c r="R157" s="9"/>
      <c r="S157" s="9"/>
      <c r="T157" s="37"/>
      <c r="U157" s="37"/>
      <c r="V157" s="37"/>
      <c r="W157" s="37"/>
      <c r="X157" s="37"/>
      <c r="Y157" s="37"/>
      <c r="Z15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7" s="37"/>
      <c r="AB157" s="66" t="str">
        <f>IF(COUNTA(SalCommune[[#This Row],[Nom]:[heures annuelles
selon contrat(s)]])=0,"",SalCommune[[#This Row],[Total global]]-ABS(SalCommune[[#This Row],[Dont non opposable]]))</f>
        <v/>
      </c>
      <c r="AC157" s="8"/>
      <c r="AD157" s="63"/>
      <c r="AE157" s="430"/>
      <c r="AF157" s="430"/>
      <c r="AG157" s="430"/>
      <c r="AH157" s="181"/>
      <c r="AI157" s="194">
        <f>IF(COUNTA(SalCommune[[#This Row],[N°]:[heures annuelles
selon contrat(s)]])=0,"",REVEX!$E$9)</f>
        <v>0</v>
      </c>
      <c r="AJ157" s="72" t="str">
        <f>IF(SalCommune[[#This Row],[Allocations fonctions]]="","",IF(ISNA(VLOOKUP(SalCommune[[#This Row],[Allocations fonctions]],DROPDOWN[Dropdown82],1,FALSE))=TRUE,"&lt;-- Veuillez choisir l'allocation parmis la liste déroulante.",""))</f>
        <v/>
      </c>
    </row>
    <row r="158" spans="1:36" x14ac:dyDescent="0.25">
      <c r="A158" s="72" t="str">
        <f>IF(SalCommune[[#This Row],[Statut]]="","",IF(ISNA(VLOOKUP(SalCommune[[#This Row],[Statut]],'Grille communale'!$B$3:$B$5,1,FALSE))=TRUE,"Veuillez choisir le statut parmis la liste déroulante",""))</f>
        <v/>
      </c>
      <c r="B158" s="725" t="str">
        <f>IF(SalCommune[[#This Row],[Matricule]]="","",MAX($B$7:B157)+1)</f>
        <v/>
      </c>
      <c r="C158" s="8"/>
      <c r="D158" s="8"/>
      <c r="E158" s="20"/>
      <c r="F158" s="8"/>
      <c r="G158" s="8"/>
      <c r="H158" s="9"/>
      <c r="I158" s="9"/>
      <c r="J158" s="9"/>
      <c r="K158" s="10"/>
      <c r="L158" s="10"/>
      <c r="M158" s="9"/>
      <c r="N158" s="9"/>
      <c r="O158" s="9"/>
      <c r="P15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8" s="9"/>
      <c r="R158" s="9"/>
      <c r="S158" s="9"/>
      <c r="T158" s="37"/>
      <c r="U158" s="37"/>
      <c r="V158" s="37"/>
      <c r="W158" s="37"/>
      <c r="X158" s="37"/>
      <c r="Y158" s="37"/>
      <c r="Z15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8" s="37"/>
      <c r="AB158" s="66" t="str">
        <f>IF(COUNTA(SalCommune[[#This Row],[Nom]:[heures annuelles
selon contrat(s)]])=0,"",SalCommune[[#This Row],[Total global]]-ABS(SalCommune[[#This Row],[Dont non opposable]]))</f>
        <v/>
      </c>
      <c r="AC158" s="8"/>
      <c r="AD158" s="63"/>
      <c r="AE158" s="430"/>
      <c r="AF158" s="430"/>
      <c r="AG158" s="430"/>
      <c r="AH158" s="181"/>
      <c r="AI158" s="194">
        <f>IF(COUNTA(SalCommune[[#This Row],[N°]:[heures annuelles
selon contrat(s)]])=0,"",REVEX!$E$9)</f>
        <v>0</v>
      </c>
      <c r="AJ158" s="72" t="str">
        <f>IF(SalCommune[[#This Row],[Allocations fonctions]]="","",IF(ISNA(VLOOKUP(SalCommune[[#This Row],[Allocations fonctions]],DROPDOWN[Dropdown82],1,FALSE))=TRUE,"&lt;-- Veuillez choisir l'allocation parmis la liste déroulante.",""))</f>
        <v/>
      </c>
    </row>
    <row r="159" spans="1:36" x14ac:dyDescent="0.25">
      <c r="A159" s="72" t="str">
        <f>IF(SalCommune[[#This Row],[Statut]]="","",IF(ISNA(VLOOKUP(SalCommune[[#This Row],[Statut]],'Grille communale'!$B$3:$B$5,1,FALSE))=TRUE,"Veuillez choisir le statut parmis la liste déroulante",""))</f>
        <v/>
      </c>
      <c r="B159" s="725" t="str">
        <f>IF(SalCommune[[#This Row],[Matricule]]="","",MAX($B$7:B158)+1)</f>
        <v/>
      </c>
      <c r="C159" s="8"/>
      <c r="D159" s="8"/>
      <c r="E159" s="20"/>
      <c r="F159" s="8"/>
      <c r="G159" s="8"/>
      <c r="H159" s="9"/>
      <c r="I159" s="9"/>
      <c r="J159" s="9"/>
      <c r="K159" s="10"/>
      <c r="L159" s="10"/>
      <c r="M159" s="9"/>
      <c r="N159" s="9"/>
      <c r="O159" s="9"/>
      <c r="P15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59" s="9"/>
      <c r="R159" s="9"/>
      <c r="S159" s="9"/>
      <c r="T159" s="37"/>
      <c r="U159" s="37"/>
      <c r="V159" s="37"/>
      <c r="W159" s="37"/>
      <c r="X159" s="37"/>
      <c r="Y159" s="37"/>
      <c r="Z15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59" s="37"/>
      <c r="AB159" s="66" t="str">
        <f>IF(COUNTA(SalCommune[[#This Row],[Nom]:[heures annuelles
selon contrat(s)]])=0,"",SalCommune[[#This Row],[Total global]]-ABS(SalCommune[[#This Row],[Dont non opposable]]))</f>
        <v/>
      </c>
      <c r="AC159" s="8"/>
      <c r="AD159" s="63"/>
      <c r="AE159" s="430"/>
      <c r="AF159" s="430"/>
      <c r="AG159" s="430"/>
      <c r="AH159" s="181"/>
      <c r="AI159" s="194">
        <f>IF(COUNTA(SalCommune[[#This Row],[N°]:[heures annuelles
selon contrat(s)]])=0,"",REVEX!$E$9)</f>
        <v>0</v>
      </c>
      <c r="AJ159" s="72" t="str">
        <f>IF(SalCommune[[#This Row],[Allocations fonctions]]="","",IF(ISNA(VLOOKUP(SalCommune[[#This Row],[Allocations fonctions]],DROPDOWN[Dropdown82],1,FALSE))=TRUE,"&lt;-- Veuillez choisir l'allocation parmis la liste déroulante.",""))</f>
        <v/>
      </c>
    </row>
    <row r="160" spans="1:36" x14ac:dyDescent="0.25">
      <c r="A160" s="72" t="str">
        <f>IF(SalCommune[[#This Row],[Statut]]="","",IF(ISNA(VLOOKUP(SalCommune[[#This Row],[Statut]],'Grille communale'!$B$3:$B$5,1,FALSE))=TRUE,"Veuillez choisir le statut parmis la liste déroulante",""))</f>
        <v/>
      </c>
      <c r="B160" s="725" t="str">
        <f>IF(SalCommune[[#This Row],[Matricule]]="","",MAX($B$7:B159)+1)</f>
        <v/>
      </c>
      <c r="C160" s="8"/>
      <c r="D160" s="8"/>
      <c r="E160" s="20"/>
      <c r="F160" s="8"/>
      <c r="G160" s="8"/>
      <c r="H160" s="9"/>
      <c r="I160" s="9"/>
      <c r="J160" s="9"/>
      <c r="K160" s="10"/>
      <c r="L160" s="10"/>
      <c r="M160" s="9"/>
      <c r="N160" s="9"/>
      <c r="O160" s="9"/>
      <c r="P16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0" s="9"/>
      <c r="R160" s="9"/>
      <c r="S160" s="9"/>
      <c r="T160" s="37"/>
      <c r="U160" s="37"/>
      <c r="V160" s="37"/>
      <c r="W160" s="37"/>
      <c r="X160" s="37"/>
      <c r="Y160" s="37"/>
      <c r="Z16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0" s="37"/>
      <c r="AB160" s="66" t="str">
        <f>IF(COUNTA(SalCommune[[#This Row],[Nom]:[heures annuelles
selon contrat(s)]])=0,"",SalCommune[[#This Row],[Total global]]-ABS(SalCommune[[#This Row],[Dont non opposable]]))</f>
        <v/>
      </c>
      <c r="AC160" s="8"/>
      <c r="AD160" s="63"/>
      <c r="AE160" s="430"/>
      <c r="AF160" s="430"/>
      <c r="AG160" s="430"/>
      <c r="AH160" s="181"/>
      <c r="AI160" s="194">
        <f>IF(COUNTA(SalCommune[[#This Row],[N°]:[heures annuelles
selon contrat(s)]])=0,"",REVEX!$E$9)</f>
        <v>0</v>
      </c>
      <c r="AJ160" s="72" t="str">
        <f>IF(SalCommune[[#This Row],[Allocations fonctions]]="","",IF(ISNA(VLOOKUP(SalCommune[[#This Row],[Allocations fonctions]],DROPDOWN[Dropdown82],1,FALSE))=TRUE,"&lt;-- Veuillez choisir l'allocation parmis la liste déroulante.",""))</f>
        <v/>
      </c>
    </row>
    <row r="161" spans="1:36" x14ac:dyDescent="0.25">
      <c r="A161" s="72" t="str">
        <f>IF(SalCommune[[#This Row],[Statut]]="","",IF(ISNA(VLOOKUP(SalCommune[[#This Row],[Statut]],'Grille communale'!$B$3:$B$5,1,FALSE))=TRUE,"Veuillez choisir le statut parmis la liste déroulante",""))</f>
        <v/>
      </c>
      <c r="B161" s="725" t="str">
        <f>IF(SalCommune[[#This Row],[Matricule]]="","",MAX($B$7:B160)+1)</f>
        <v/>
      </c>
      <c r="C161" s="8"/>
      <c r="D161" s="8"/>
      <c r="E161" s="20"/>
      <c r="F161" s="8"/>
      <c r="G161" s="8"/>
      <c r="H161" s="9"/>
      <c r="I161" s="9"/>
      <c r="J161" s="9"/>
      <c r="K161" s="10"/>
      <c r="L161" s="10"/>
      <c r="M161" s="9"/>
      <c r="N161" s="9"/>
      <c r="O161" s="9"/>
      <c r="P16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1" s="9"/>
      <c r="R161" s="9"/>
      <c r="S161" s="9"/>
      <c r="T161" s="37"/>
      <c r="U161" s="37"/>
      <c r="V161" s="37"/>
      <c r="W161" s="37"/>
      <c r="X161" s="37"/>
      <c r="Y161" s="37"/>
      <c r="Z16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1" s="37"/>
      <c r="AB161" s="66" t="str">
        <f>IF(COUNTA(SalCommune[[#This Row],[Nom]:[heures annuelles
selon contrat(s)]])=0,"",SalCommune[[#This Row],[Total global]]-ABS(SalCommune[[#This Row],[Dont non opposable]]))</f>
        <v/>
      </c>
      <c r="AC161" s="8"/>
      <c r="AD161" s="63"/>
      <c r="AE161" s="430"/>
      <c r="AF161" s="430"/>
      <c r="AG161" s="430"/>
      <c r="AH161" s="181"/>
      <c r="AI161" s="194">
        <f>IF(COUNTA(SalCommune[[#This Row],[N°]:[heures annuelles
selon contrat(s)]])=0,"",REVEX!$E$9)</f>
        <v>0</v>
      </c>
      <c r="AJ161" s="72" t="str">
        <f>IF(SalCommune[[#This Row],[Allocations fonctions]]="","",IF(ISNA(VLOOKUP(SalCommune[[#This Row],[Allocations fonctions]],DROPDOWN[Dropdown82],1,FALSE))=TRUE,"&lt;-- Veuillez choisir l'allocation parmis la liste déroulante.",""))</f>
        <v/>
      </c>
    </row>
    <row r="162" spans="1:36" x14ac:dyDescent="0.25">
      <c r="A162" s="72" t="str">
        <f>IF(SalCommune[[#This Row],[Statut]]="","",IF(ISNA(VLOOKUP(SalCommune[[#This Row],[Statut]],'Grille communale'!$B$3:$B$5,1,FALSE))=TRUE,"Veuillez choisir le statut parmis la liste déroulante",""))</f>
        <v/>
      </c>
      <c r="B162" s="725" t="str">
        <f>IF(SalCommune[[#This Row],[Matricule]]="","",MAX($B$7:B161)+1)</f>
        <v/>
      </c>
      <c r="C162" s="8"/>
      <c r="D162" s="8"/>
      <c r="E162" s="20"/>
      <c r="F162" s="8"/>
      <c r="G162" s="8"/>
      <c r="H162" s="9"/>
      <c r="I162" s="9"/>
      <c r="J162" s="9"/>
      <c r="K162" s="10"/>
      <c r="L162" s="10"/>
      <c r="M162" s="9"/>
      <c r="N162" s="9"/>
      <c r="O162" s="9"/>
      <c r="P16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2" s="9"/>
      <c r="R162" s="9"/>
      <c r="S162" s="9"/>
      <c r="T162" s="37"/>
      <c r="U162" s="37"/>
      <c r="V162" s="37"/>
      <c r="W162" s="37"/>
      <c r="X162" s="37"/>
      <c r="Y162" s="37"/>
      <c r="Z16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2" s="37"/>
      <c r="AB162" s="66" t="str">
        <f>IF(COUNTA(SalCommune[[#This Row],[Nom]:[heures annuelles
selon contrat(s)]])=0,"",SalCommune[[#This Row],[Total global]]-ABS(SalCommune[[#This Row],[Dont non opposable]]))</f>
        <v/>
      </c>
      <c r="AC162" s="8"/>
      <c r="AD162" s="63"/>
      <c r="AE162" s="430"/>
      <c r="AF162" s="430"/>
      <c r="AG162" s="430"/>
      <c r="AH162" s="181"/>
      <c r="AI162" s="194">
        <f>IF(COUNTA(SalCommune[[#This Row],[N°]:[heures annuelles
selon contrat(s)]])=0,"",REVEX!$E$9)</f>
        <v>0</v>
      </c>
      <c r="AJ162" s="72" t="str">
        <f>IF(SalCommune[[#This Row],[Allocations fonctions]]="","",IF(ISNA(VLOOKUP(SalCommune[[#This Row],[Allocations fonctions]],DROPDOWN[Dropdown82],1,FALSE))=TRUE,"&lt;-- Veuillez choisir l'allocation parmis la liste déroulante.",""))</f>
        <v/>
      </c>
    </row>
    <row r="163" spans="1:36" x14ac:dyDescent="0.25">
      <c r="A163" s="72" t="str">
        <f>IF(SalCommune[[#This Row],[Statut]]="","",IF(ISNA(VLOOKUP(SalCommune[[#This Row],[Statut]],'Grille communale'!$B$3:$B$5,1,FALSE))=TRUE,"Veuillez choisir le statut parmis la liste déroulante",""))</f>
        <v/>
      </c>
      <c r="B163" s="725" t="str">
        <f>IF(SalCommune[[#This Row],[Matricule]]="","",MAX($B$7:B162)+1)</f>
        <v/>
      </c>
      <c r="C163" s="8"/>
      <c r="D163" s="8"/>
      <c r="E163" s="20"/>
      <c r="F163" s="8"/>
      <c r="G163" s="8"/>
      <c r="H163" s="9"/>
      <c r="I163" s="9"/>
      <c r="J163" s="9"/>
      <c r="K163" s="10"/>
      <c r="L163" s="10"/>
      <c r="M163" s="9"/>
      <c r="N163" s="9"/>
      <c r="O163" s="9"/>
      <c r="P16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3" s="9"/>
      <c r="R163" s="9"/>
      <c r="S163" s="9"/>
      <c r="T163" s="37"/>
      <c r="U163" s="37"/>
      <c r="V163" s="37"/>
      <c r="W163" s="37"/>
      <c r="X163" s="37"/>
      <c r="Y163" s="37"/>
      <c r="Z16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3" s="37"/>
      <c r="AB163" s="66" t="str">
        <f>IF(COUNTA(SalCommune[[#This Row],[Nom]:[heures annuelles
selon contrat(s)]])=0,"",SalCommune[[#This Row],[Total global]]-ABS(SalCommune[[#This Row],[Dont non opposable]]))</f>
        <v/>
      </c>
      <c r="AC163" s="8"/>
      <c r="AD163" s="63"/>
      <c r="AE163" s="430"/>
      <c r="AF163" s="430"/>
      <c r="AG163" s="430"/>
      <c r="AH163" s="181"/>
      <c r="AI163" s="194">
        <f>IF(COUNTA(SalCommune[[#This Row],[N°]:[heures annuelles
selon contrat(s)]])=0,"",REVEX!$E$9)</f>
        <v>0</v>
      </c>
      <c r="AJ163" s="72" t="str">
        <f>IF(SalCommune[[#This Row],[Allocations fonctions]]="","",IF(ISNA(VLOOKUP(SalCommune[[#This Row],[Allocations fonctions]],DROPDOWN[Dropdown82],1,FALSE))=TRUE,"&lt;-- Veuillez choisir l'allocation parmis la liste déroulante.",""))</f>
        <v/>
      </c>
    </row>
    <row r="164" spans="1:36" x14ac:dyDescent="0.25">
      <c r="A164" s="72" t="str">
        <f>IF(SalCommune[[#This Row],[Statut]]="","",IF(ISNA(VLOOKUP(SalCommune[[#This Row],[Statut]],'Grille communale'!$B$3:$B$5,1,FALSE))=TRUE,"Veuillez choisir le statut parmis la liste déroulante",""))</f>
        <v/>
      </c>
      <c r="B164" s="725" t="str">
        <f>IF(SalCommune[[#This Row],[Matricule]]="","",MAX($B$7:B163)+1)</f>
        <v/>
      </c>
      <c r="C164" s="8"/>
      <c r="D164" s="8"/>
      <c r="E164" s="20"/>
      <c r="F164" s="8"/>
      <c r="G164" s="8"/>
      <c r="H164" s="9"/>
      <c r="I164" s="9"/>
      <c r="J164" s="9"/>
      <c r="K164" s="10"/>
      <c r="L164" s="10"/>
      <c r="M164" s="9"/>
      <c r="N164" s="9"/>
      <c r="O164" s="9"/>
      <c r="P16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4" s="9"/>
      <c r="R164" s="9"/>
      <c r="S164" s="9"/>
      <c r="T164" s="37"/>
      <c r="U164" s="37"/>
      <c r="V164" s="37"/>
      <c r="W164" s="37"/>
      <c r="X164" s="37"/>
      <c r="Y164" s="37"/>
      <c r="Z16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4" s="37"/>
      <c r="AB164" s="66" t="str">
        <f>IF(COUNTA(SalCommune[[#This Row],[Nom]:[heures annuelles
selon contrat(s)]])=0,"",SalCommune[[#This Row],[Total global]]-ABS(SalCommune[[#This Row],[Dont non opposable]]))</f>
        <v/>
      </c>
      <c r="AC164" s="8"/>
      <c r="AD164" s="63"/>
      <c r="AE164" s="430"/>
      <c r="AF164" s="430"/>
      <c r="AG164" s="430"/>
      <c r="AH164" s="181"/>
      <c r="AI164" s="194">
        <f>IF(COUNTA(SalCommune[[#This Row],[N°]:[heures annuelles
selon contrat(s)]])=0,"",REVEX!$E$9)</f>
        <v>0</v>
      </c>
      <c r="AJ164" s="72" t="str">
        <f>IF(SalCommune[[#This Row],[Allocations fonctions]]="","",IF(ISNA(VLOOKUP(SalCommune[[#This Row],[Allocations fonctions]],DROPDOWN[Dropdown82],1,FALSE))=TRUE,"&lt;-- Veuillez choisir l'allocation parmis la liste déroulante.",""))</f>
        <v/>
      </c>
    </row>
    <row r="165" spans="1:36" x14ac:dyDescent="0.25">
      <c r="A165" s="72" t="str">
        <f>IF(SalCommune[[#This Row],[Statut]]="","",IF(ISNA(VLOOKUP(SalCommune[[#This Row],[Statut]],'Grille communale'!$B$3:$B$5,1,FALSE))=TRUE,"Veuillez choisir le statut parmis la liste déroulante",""))</f>
        <v/>
      </c>
      <c r="B165" s="725" t="str">
        <f>IF(SalCommune[[#This Row],[Matricule]]="","",MAX($B$7:B164)+1)</f>
        <v/>
      </c>
      <c r="C165" s="8"/>
      <c r="D165" s="8"/>
      <c r="E165" s="20"/>
      <c r="F165" s="8"/>
      <c r="G165" s="8"/>
      <c r="H165" s="9"/>
      <c r="I165" s="9"/>
      <c r="J165" s="9"/>
      <c r="K165" s="10"/>
      <c r="L165" s="10"/>
      <c r="M165" s="9"/>
      <c r="N165" s="9"/>
      <c r="O165" s="9"/>
      <c r="P16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5" s="9"/>
      <c r="R165" s="9"/>
      <c r="S165" s="9"/>
      <c r="T165" s="37"/>
      <c r="U165" s="37"/>
      <c r="V165" s="37"/>
      <c r="W165" s="37"/>
      <c r="X165" s="37"/>
      <c r="Y165" s="37"/>
      <c r="Z16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5" s="37"/>
      <c r="AB165" s="66" t="str">
        <f>IF(COUNTA(SalCommune[[#This Row],[Nom]:[heures annuelles
selon contrat(s)]])=0,"",SalCommune[[#This Row],[Total global]]-ABS(SalCommune[[#This Row],[Dont non opposable]]))</f>
        <v/>
      </c>
      <c r="AC165" s="8"/>
      <c r="AD165" s="63"/>
      <c r="AE165" s="430"/>
      <c r="AF165" s="430"/>
      <c r="AG165" s="430"/>
      <c r="AH165" s="181"/>
      <c r="AI165" s="194">
        <f>IF(COUNTA(SalCommune[[#This Row],[N°]:[heures annuelles
selon contrat(s)]])=0,"",REVEX!$E$9)</f>
        <v>0</v>
      </c>
      <c r="AJ165" s="72" t="str">
        <f>IF(SalCommune[[#This Row],[Allocations fonctions]]="","",IF(ISNA(VLOOKUP(SalCommune[[#This Row],[Allocations fonctions]],DROPDOWN[Dropdown82],1,FALSE))=TRUE,"&lt;-- Veuillez choisir l'allocation parmis la liste déroulante.",""))</f>
        <v/>
      </c>
    </row>
    <row r="166" spans="1:36" x14ac:dyDescent="0.25">
      <c r="A166" s="72" t="str">
        <f>IF(SalCommune[[#This Row],[Statut]]="","",IF(ISNA(VLOOKUP(SalCommune[[#This Row],[Statut]],'Grille communale'!$B$3:$B$5,1,FALSE))=TRUE,"Veuillez choisir le statut parmis la liste déroulante",""))</f>
        <v/>
      </c>
      <c r="B166" s="725" t="str">
        <f>IF(SalCommune[[#This Row],[Matricule]]="","",MAX($B$7:B165)+1)</f>
        <v/>
      </c>
      <c r="C166" s="8"/>
      <c r="D166" s="8"/>
      <c r="E166" s="20"/>
      <c r="F166" s="8"/>
      <c r="G166" s="8"/>
      <c r="H166" s="9"/>
      <c r="I166" s="9"/>
      <c r="J166" s="9"/>
      <c r="K166" s="10"/>
      <c r="L166" s="10"/>
      <c r="M166" s="9"/>
      <c r="N166" s="9"/>
      <c r="O166" s="9"/>
      <c r="P16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6" s="9"/>
      <c r="R166" s="9"/>
      <c r="S166" s="9"/>
      <c r="T166" s="37"/>
      <c r="U166" s="37"/>
      <c r="V166" s="37"/>
      <c r="W166" s="37"/>
      <c r="X166" s="37"/>
      <c r="Y166" s="37"/>
      <c r="Z16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6" s="37"/>
      <c r="AB166" s="66" t="str">
        <f>IF(COUNTA(SalCommune[[#This Row],[Nom]:[heures annuelles
selon contrat(s)]])=0,"",SalCommune[[#This Row],[Total global]]-ABS(SalCommune[[#This Row],[Dont non opposable]]))</f>
        <v/>
      </c>
      <c r="AC166" s="8"/>
      <c r="AD166" s="63"/>
      <c r="AE166" s="430"/>
      <c r="AF166" s="430"/>
      <c r="AG166" s="430"/>
      <c r="AH166" s="181"/>
      <c r="AI166" s="194">
        <f>IF(COUNTA(SalCommune[[#This Row],[N°]:[heures annuelles
selon contrat(s)]])=0,"",REVEX!$E$9)</f>
        <v>0</v>
      </c>
      <c r="AJ166" s="72" t="str">
        <f>IF(SalCommune[[#This Row],[Allocations fonctions]]="","",IF(ISNA(VLOOKUP(SalCommune[[#This Row],[Allocations fonctions]],DROPDOWN[Dropdown82],1,FALSE))=TRUE,"&lt;-- Veuillez choisir l'allocation parmis la liste déroulante.",""))</f>
        <v/>
      </c>
    </row>
    <row r="167" spans="1:36" x14ac:dyDescent="0.25">
      <c r="A167" s="72" t="str">
        <f>IF(SalCommune[[#This Row],[Statut]]="","",IF(ISNA(VLOOKUP(SalCommune[[#This Row],[Statut]],'Grille communale'!$B$3:$B$5,1,FALSE))=TRUE,"Veuillez choisir le statut parmis la liste déroulante",""))</f>
        <v/>
      </c>
      <c r="B167" s="725" t="str">
        <f>IF(SalCommune[[#This Row],[Matricule]]="","",MAX($B$7:B166)+1)</f>
        <v/>
      </c>
      <c r="C167" s="8"/>
      <c r="D167" s="8"/>
      <c r="E167" s="20"/>
      <c r="F167" s="8"/>
      <c r="G167" s="8"/>
      <c r="H167" s="9"/>
      <c r="I167" s="9"/>
      <c r="J167" s="9"/>
      <c r="K167" s="10"/>
      <c r="L167" s="10"/>
      <c r="M167" s="9"/>
      <c r="N167" s="9"/>
      <c r="O167" s="9"/>
      <c r="P16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7" s="9"/>
      <c r="R167" s="9"/>
      <c r="S167" s="9"/>
      <c r="T167" s="37"/>
      <c r="U167" s="37"/>
      <c r="V167" s="37"/>
      <c r="W167" s="37"/>
      <c r="X167" s="37"/>
      <c r="Y167" s="37"/>
      <c r="Z16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7" s="37"/>
      <c r="AB167" s="66" t="str">
        <f>IF(COUNTA(SalCommune[[#This Row],[Nom]:[heures annuelles
selon contrat(s)]])=0,"",SalCommune[[#This Row],[Total global]]-ABS(SalCommune[[#This Row],[Dont non opposable]]))</f>
        <v/>
      </c>
      <c r="AC167" s="8"/>
      <c r="AD167" s="63"/>
      <c r="AE167" s="430"/>
      <c r="AF167" s="430"/>
      <c r="AG167" s="430"/>
      <c r="AH167" s="181"/>
      <c r="AI167" s="194">
        <f>IF(COUNTA(SalCommune[[#This Row],[N°]:[heures annuelles
selon contrat(s)]])=0,"",REVEX!$E$9)</f>
        <v>0</v>
      </c>
      <c r="AJ167" s="72" t="str">
        <f>IF(SalCommune[[#This Row],[Allocations fonctions]]="","",IF(ISNA(VLOOKUP(SalCommune[[#This Row],[Allocations fonctions]],DROPDOWN[Dropdown82],1,FALSE))=TRUE,"&lt;-- Veuillez choisir l'allocation parmis la liste déroulante.",""))</f>
        <v/>
      </c>
    </row>
    <row r="168" spans="1:36" x14ac:dyDescent="0.25">
      <c r="A168" s="72" t="str">
        <f>IF(SalCommune[[#This Row],[Statut]]="","",IF(ISNA(VLOOKUP(SalCommune[[#This Row],[Statut]],'Grille communale'!$B$3:$B$5,1,FALSE))=TRUE,"Veuillez choisir le statut parmis la liste déroulante",""))</f>
        <v/>
      </c>
      <c r="B168" s="725" t="str">
        <f>IF(SalCommune[[#This Row],[Matricule]]="","",MAX($B$7:B167)+1)</f>
        <v/>
      </c>
      <c r="C168" s="8"/>
      <c r="D168" s="8"/>
      <c r="E168" s="20"/>
      <c r="F168" s="8"/>
      <c r="G168" s="8"/>
      <c r="H168" s="9"/>
      <c r="I168" s="9"/>
      <c r="J168" s="9"/>
      <c r="K168" s="10"/>
      <c r="L168" s="10"/>
      <c r="M168" s="9"/>
      <c r="N168" s="9"/>
      <c r="O168" s="9"/>
      <c r="P16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8" s="9"/>
      <c r="R168" s="9"/>
      <c r="S168" s="9"/>
      <c r="T168" s="37"/>
      <c r="U168" s="37"/>
      <c r="V168" s="37"/>
      <c r="W168" s="37"/>
      <c r="X168" s="37"/>
      <c r="Y168" s="37"/>
      <c r="Z16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8" s="37"/>
      <c r="AB168" s="66" t="str">
        <f>IF(COUNTA(SalCommune[[#This Row],[Nom]:[heures annuelles
selon contrat(s)]])=0,"",SalCommune[[#This Row],[Total global]]-ABS(SalCommune[[#This Row],[Dont non opposable]]))</f>
        <v/>
      </c>
      <c r="AC168" s="8"/>
      <c r="AD168" s="63"/>
      <c r="AE168" s="430"/>
      <c r="AF168" s="430"/>
      <c r="AG168" s="430"/>
      <c r="AH168" s="181"/>
      <c r="AI168" s="194">
        <f>IF(COUNTA(SalCommune[[#This Row],[N°]:[heures annuelles
selon contrat(s)]])=0,"",REVEX!$E$9)</f>
        <v>0</v>
      </c>
      <c r="AJ168" s="72" t="str">
        <f>IF(SalCommune[[#This Row],[Allocations fonctions]]="","",IF(ISNA(VLOOKUP(SalCommune[[#This Row],[Allocations fonctions]],DROPDOWN[Dropdown82],1,FALSE))=TRUE,"&lt;-- Veuillez choisir l'allocation parmis la liste déroulante.",""))</f>
        <v/>
      </c>
    </row>
    <row r="169" spans="1:36" x14ac:dyDescent="0.25">
      <c r="A169" s="72" t="str">
        <f>IF(SalCommune[[#This Row],[Statut]]="","",IF(ISNA(VLOOKUP(SalCommune[[#This Row],[Statut]],'Grille communale'!$B$3:$B$5,1,FALSE))=TRUE,"Veuillez choisir le statut parmis la liste déroulante",""))</f>
        <v/>
      </c>
      <c r="B169" s="725" t="str">
        <f>IF(SalCommune[[#This Row],[Matricule]]="","",MAX($B$7:B168)+1)</f>
        <v/>
      </c>
      <c r="C169" s="8"/>
      <c r="D169" s="8"/>
      <c r="E169" s="20"/>
      <c r="F169" s="8"/>
      <c r="G169" s="8"/>
      <c r="H169" s="9"/>
      <c r="I169" s="9"/>
      <c r="J169" s="9"/>
      <c r="K169" s="10"/>
      <c r="L169" s="10"/>
      <c r="M169" s="9"/>
      <c r="N169" s="9"/>
      <c r="O169" s="9"/>
      <c r="P16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69" s="9"/>
      <c r="R169" s="9"/>
      <c r="S169" s="9"/>
      <c r="T169" s="37"/>
      <c r="U169" s="37"/>
      <c r="V169" s="37"/>
      <c r="W169" s="37"/>
      <c r="X169" s="37"/>
      <c r="Y169" s="37"/>
      <c r="Z16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69" s="37"/>
      <c r="AB169" s="66" t="str">
        <f>IF(COUNTA(SalCommune[[#This Row],[Nom]:[heures annuelles
selon contrat(s)]])=0,"",SalCommune[[#This Row],[Total global]]-ABS(SalCommune[[#This Row],[Dont non opposable]]))</f>
        <v/>
      </c>
      <c r="AC169" s="8"/>
      <c r="AD169" s="63"/>
      <c r="AE169" s="430"/>
      <c r="AF169" s="430"/>
      <c r="AG169" s="430"/>
      <c r="AH169" s="181"/>
      <c r="AI169" s="194">
        <f>IF(COUNTA(SalCommune[[#This Row],[N°]:[heures annuelles
selon contrat(s)]])=0,"",REVEX!$E$9)</f>
        <v>0</v>
      </c>
      <c r="AJ169" s="72" t="str">
        <f>IF(SalCommune[[#This Row],[Allocations fonctions]]="","",IF(ISNA(VLOOKUP(SalCommune[[#This Row],[Allocations fonctions]],DROPDOWN[Dropdown82],1,FALSE))=TRUE,"&lt;-- Veuillez choisir l'allocation parmis la liste déroulante.",""))</f>
        <v/>
      </c>
    </row>
    <row r="170" spans="1:36" x14ac:dyDescent="0.25">
      <c r="A170" s="72" t="str">
        <f>IF(SalCommune[[#This Row],[Statut]]="","",IF(ISNA(VLOOKUP(SalCommune[[#This Row],[Statut]],'Grille communale'!$B$3:$B$5,1,FALSE))=TRUE,"Veuillez choisir le statut parmis la liste déroulante",""))</f>
        <v/>
      </c>
      <c r="B170" s="725" t="str">
        <f>IF(SalCommune[[#This Row],[Matricule]]="","",MAX($B$7:B169)+1)</f>
        <v/>
      </c>
      <c r="C170" s="8"/>
      <c r="D170" s="8"/>
      <c r="E170" s="20"/>
      <c r="F170" s="8"/>
      <c r="G170" s="8"/>
      <c r="H170" s="9"/>
      <c r="I170" s="9"/>
      <c r="J170" s="9"/>
      <c r="K170" s="10"/>
      <c r="L170" s="10"/>
      <c r="M170" s="9"/>
      <c r="N170" s="9"/>
      <c r="O170" s="9"/>
      <c r="P17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0" s="9"/>
      <c r="R170" s="9"/>
      <c r="S170" s="9"/>
      <c r="T170" s="37"/>
      <c r="U170" s="37"/>
      <c r="V170" s="37"/>
      <c r="W170" s="37"/>
      <c r="X170" s="37"/>
      <c r="Y170" s="37"/>
      <c r="Z17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0" s="37"/>
      <c r="AB170" s="66" t="str">
        <f>IF(COUNTA(SalCommune[[#This Row],[Nom]:[heures annuelles
selon contrat(s)]])=0,"",SalCommune[[#This Row],[Total global]]-ABS(SalCommune[[#This Row],[Dont non opposable]]))</f>
        <v/>
      </c>
      <c r="AC170" s="8"/>
      <c r="AD170" s="63"/>
      <c r="AE170" s="430"/>
      <c r="AF170" s="430"/>
      <c r="AG170" s="430"/>
      <c r="AH170" s="181"/>
      <c r="AI170" s="194">
        <f>IF(COUNTA(SalCommune[[#This Row],[N°]:[heures annuelles
selon contrat(s)]])=0,"",REVEX!$E$9)</f>
        <v>0</v>
      </c>
      <c r="AJ170" s="72" t="str">
        <f>IF(SalCommune[[#This Row],[Allocations fonctions]]="","",IF(ISNA(VLOOKUP(SalCommune[[#This Row],[Allocations fonctions]],DROPDOWN[Dropdown82],1,FALSE))=TRUE,"&lt;-- Veuillez choisir l'allocation parmis la liste déroulante.",""))</f>
        <v/>
      </c>
    </row>
    <row r="171" spans="1:36" x14ac:dyDescent="0.25">
      <c r="A171" s="72" t="str">
        <f>IF(SalCommune[[#This Row],[Statut]]="","",IF(ISNA(VLOOKUP(SalCommune[[#This Row],[Statut]],'Grille communale'!$B$3:$B$5,1,FALSE))=TRUE,"Veuillez choisir le statut parmis la liste déroulante",""))</f>
        <v/>
      </c>
      <c r="B171" s="725" t="str">
        <f>IF(SalCommune[[#This Row],[Matricule]]="","",MAX($B$7:B170)+1)</f>
        <v/>
      </c>
      <c r="C171" s="8"/>
      <c r="D171" s="8"/>
      <c r="E171" s="20"/>
      <c r="F171" s="8"/>
      <c r="G171" s="8"/>
      <c r="H171" s="9"/>
      <c r="I171" s="9"/>
      <c r="J171" s="9"/>
      <c r="K171" s="10"/>
      <c r="L171" s="10"/>
      <c r="M171" s="9"/>
      <c r="N171" s="9"/>
      <c r="O171" s="9"/>
      <c r="P17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1" s="9"/>
      <c r="R171" s="9"/>
      <c r="S171" s="9"/>
      <c r="T171" s="37"/>
      <c r="U171" s="37"/>
      <c r="V171" s="37"/>
      <c r="W171" s="37"/>
      <c r="X171" s="37"/>
      <c r="Y171" s="37"/>
      <c r="Z17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1" s="37"/>
      <c r="AB171" s="66" t="str">
        <f>IF(COUNTA(SalCommune[[#This Row],[Nom]:[heures annuelles
selon contrat(s)]])=0,"",SalCommune[[#This Row],[Total global]]-ABS(SalCommune[[#This Row],[Dont non opposable]]))</f>
        <v/>
      </c>
      <c r="AC171" s="8"/>
      <c r="AD171" s="63"/>
      <c r="AE171" s="430"/>
      <c r="AF171" s="430"/>
      <c r="AG171" s="430"/>
      <c r="AH171" s="181"/>
      <c r="AI171" s="194">
        <f>IF(COUNTA(SalCommune[[#This Row],[N°]:[heures annuelles
selon contrat(s)]])=0,"",REVEX!$E$9)</f>
        <v>0</v>
      </c>
      <c r="AJ171" s="72" t="str">
        <f>IF(SalCommune[[#This Row],[Allocations fonctions]]="","",IF(ISNA(VLOOKUP(SalCommune[[#This Row],[Allocations fonctions]],DROPDOWN[Dropdown82],1,FALSE))=TRUE,"&lt;-- Veuillez choisir l'allocation parmis la liste déroulante.",""))</f>
        <v/>
      </c>
    </row>
    <row r="172" spans="1:36" x14ac:dyDescent="0.25">
      <c r="A172" s="72" t="str">
        <f>IF(SalCommune[[#This Row],[Statut]]="","",IF(ISNA(VLOOKUP(SalCommune[[#This Row],[Statut]],'Grille communale'!$B$3:$B$5,1,FALSE))=TRUE,"Veuillez choisir le statut parmis la liste déroulante",""))</f>
        <v/>
      </c>
      <c r="B172" s="725" t="str">
        <f>IF(SalCommune[[#This Row],[Matricule]]="","",MAX($B$7:B171)+1)</f>
        <v/>
      </c>
      <c r="C172" s="8"/>
      <c r="D172" s="8"/>
      <c r="E172" s="20"/>
      <c r="F172" s="8"/>
      <c r="G172" s="8"/>
      <c r="H172" s="9"/>
      <c r="I172" s="9"/>
      <c r="J172" s="9"/>
      <c r="K172" s="10"/>
      <c r="L172" s="10"/>
      <c r="M172" s="9"/>
      <c r="N172" s="9"/>
      <c r="O172" s="9"/>
      <c r="P17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2" s="9"/>
      <c r="R172" s="9"/>
      <c r="S172" s="9"/>
      <c r="T172" s="37"/>
      <c r="U172" s="37"/>
      <c r="V172" s="37"/>
      <c r="W172" s="37"/>
      <c r="X172" s="37"/>
      <c r="Y172" s="37"/>
      <c r="Z17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2" s="37"/>
      <c r="AB172" s="66" t="str">
        <f>IF(COUNTA(SalCommune[[#This Row],[Nom]:[heures annuelles
selon contrat(s)]])=0,"",SalCommune[[#This Row],[Total global]]-ABS(SalCommune[[#This Row],[Dont non opposable]]))</f>
        <v/>
      </c>
      <c r="AC172" s="8"/>
      <c r="AD172" s="63"/>
      <c r="AE172" s="430"/>
      <c r="AF172" s="430"/>
      <c r="AG172" s="430"/>
      <c r="AH172" s="181"/>
      <c r="AI172" s="194">
        <f>IF(COUNTA(SalCommune[[#This Row],[N°]:[heures annuelles
selon contrat(s)]])=0,"",REVEX!$E$9)</f>
        <v>0</v>
      </c>
      <c r="AJ172" s="72" t="str">
        <f>IF(SalCommune[[#This Row],[Allocations fonctions]]="","",IF(ISNA(VLOOKUP(SalCommune[[#This Row],[Allocations fonctions]],DROPDOWN[Dropdown82],1,FALSE))=TRUE,"&lt;-- Veuillez choisir l'allocation parmis la liste déroulante.",""))</f>
        <v/>
      </c>
    </row>
    <row r="173" spans="1:36" x14ac:dyDescent="0.25">
      <c r="A173" s="72" t="str">
        <f>IF(SalCommune[[#This Row],[Statut]]="","",IF(ISNA(VLOOKUP(SalCommune[[#This Row],[Statut]],'Grille communale'!$B$3:$B$5,1,FALSE))=TRUE,"Veuillez choisir le statut parmis la liste déroulante",""))</f>
        <v/>
      </c>
      <c r="B173" s="725" t="str">
        <f>IF(SalCommune[[#This Row],[Matricule]]="","",MAX($B$7:B172)+1)</f>
        <v/>
      </c>
      <c r="C173" s="8"/>
      <c r="D173" s="8"/>
      <c r="E173" s="20"/>
      <c r="F173" s="8"/>
      <c r="G173" s="8"/>
      <c r="H173" s="9"/>
      <c r="I173" s="9"/>
      <c r="J173" s="9"/>
      <c r="K173" s="10"/>
      <c r="L173" s="10"/>
      <c r="M173" s="9"/>
      <c r="N173" s="9"/>
      <c r="O173" s="9"/>
      <c r="P17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3" s="9"/>
      <c r="R173" s="9"/>
      <c r="S173" s="9"/>
      <c r="T173" s="37"/>
      <c r="U173" s="37"/>
      <c r="V173" s="37"/>
      <c r="W173" s="37"/>
      <c r="X173" s="37"/>
      <c r="Y173" s="37"/>
      <c r="Z17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3" s="37"/>
      <c r="AB173" s="66" t="str">
        <f>IF(COUNTA(SalCommune[[#This Row],[Nom]:[heures annuelles
selon contrat(s)]])=0,"",SalCommune[[#This Row],[Total global]]-ABS(SalCommune[[#This Row],[Dont non opposable]]))</f>
        <v/>
      </c>
      <c r="AC173" s="8"/>
      <c r="AD173" s="63"/>
      <c r="AE173" s="430"/>
      <c r="AF173" s="430"/>
      <c r="AG173" s="430"/>
      <c r="AH173" s="181"/>
      <c r="AI173" s="194">
        <f>IF(COUNTA(SalCommune[[#This Row],[N°]:[heures annuelles
selon contrat(s)]])=0,"",REVEX!$E$9)</f>
        <v>0</v>
      </c>
      <c r="AJ173" s="72" t="str">
        <f>IF(SalCommune[[#This Row],[Allocations fonctions]]="","",IF(ISNA(VLOOKUP(SalCommune[[#This Row],[Allocations fonctions]],DROPDOWN[Dropdown82],1,FALSE))=TRUE,"&lt;-- Veuillez choisir l'allocation parmis la liste déroulante.",""))</f>
        <v/>
      </c>
    </row>
    <row r="174" spans="1:36" x14ac:dyDescent="0.25">
      <c r="A174" s="72" t="str">
        <f>IF(SalCommune[[#This Row],[Statut]]="","",IF(ISNA(VLOOKUP(SalCommune[[#This Row],[Statut]],'Grille communale'!$B$3:$B$5,1,FALSE))=TRUE,"Veuillez choisir le statut parmis la liste déroulante",""))</f>
        <v/>
      </c>
      <c r="B174" s="725" t="str">
        <f>IF(SalCommune[[#This Row],[Matricule]]="","",MAX($B$7:B173)+1)</f>
        <v/>
      </c>
      <c r="C174" s="8"/>
      <c r="D174" s="8"/>
      <c r="E174" s="20"/>
      <c r="F174" s="8"/>
      <c r="G174" s="8"/>
      <c r="H174" s="9"/>
      <c r="I174" s="9"/>
      <c r="J174" s="9"/>
      <c r="K174" s="10"/>
      <c r="L174" s="10"/>
      <c r="M174" s="9"/>
      <c r="N174" s="9"/>
      <c r="O174" s="9"/>
      <c r="P17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4" s="9"/>
      <c r="R174" s="9"/>
      <c r="S174" s="9"/>
      <c r="T174" s="37"/>
      <c r="U174" s="37"/>
      <c r="V174" s="37"/>
      <c r="W174" s="37"/>
      <c r="X174" s="37"/>
      <c r="Y174" s="37"/>
      <c r="Z17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4" s="37"/>
      <c r="AB174" s="66" t="str">
        <f>IF(COUNTA(SalCommune[[#This Row],[Nom]:[heures annuelles
selon contrat(s)]])=0,"",SalCommune[[#This Row],[Total global]]-ABS(SalCommune[[#This Row],[Dont non opposable]]))</f>
        <v/>
      </c>
      <c r="AC174" s="8"/>
      <c r="AD174" s="63"/>
      <c r="AE174" s="430"/>
      <c r="AF174" s="430"/>
      <c r="AG174" s="430"/>
      <c r="AH174" s="181"/>
      <c r="AI174" s="194">
        <f>IF(COUNTA(SalCommune[[#This Row],[N°]:[heures annuelles
selon contrat(s)]])=0,"",REVEX!$E$9)</f>
        <v>0</v>
      </c>
      <c r="AJ174" s="72" t="str">
        <f>IF(SalCommune[[#This Row],[Allocations fonctions]]="","",IF(ISNA(VLOOKUP(SalCommune[[#This Row],[Allocations fonctions]],DROPDOWN[Dropdown82],1,FALSE))=TRUE,"&lt;-- Veuillez choisir l'allocation parmis la liste déroulante.",""))</f>
        <v/>
      </c>
    </row>
    <row r="175" spans="1:36" x14ac:dyDescent="0.25">
      <c r="A175" s="72" t="str">
        <f>IF(SalCommune[[#This Row],[Statut]]="","",IF(ISNA(VLOOKUP(SalCommune[[#This Row],[Statut]],'Grille communale'!$B$3:$B$5,1,FALSE))=TRUE,"Veuillez choisir le statut parmis la liste déroulante",""))</f>
        <v/>
      </c>
      <c r="B175" s="725" t="str">
        <f>IF(SalCommune[[#This Row],[Matricule]]="","",MAX($B$7:B174)+1)</f>
        <v/>
      </c>
      <c r="C175" s="8"/>
      <c r="D175" s="8"/>
      <c r="E175" s="20"/>
      <c r="F175" s="8"/>
      <c r="G175" s="8"/>
      <c r="H175" s="9"/>
      <c r="I175" s="9"/>
      <c r="J175" s="9"/>
      <c r="K175" s="10"/>
      <c r="L175" s="10"/>
      <c r="M175" s="9"/>
      <c r="N175" s="9"/>
      <c r="O175" s="9"/>
      <c r="P17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5" s="9"/>
      <c r="R175" s="9"/>
      <c r="S175" s="9"/>
      <c r="T175" s="37"/>
      <c r="U175" s="37"/>
      <c r="V175" s="37"/>
      <c r="W175" s="37"/>
      <c r="X175" s="37"/>
      <c r="Y175" s="37"/>
      <c r="Z17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5" s="37"/>
      <c r="AB175" s="66" t="str">
        <f>IF(COUNTA(SalCommune[[#This Row],[Nom]:[heures annuelles
selon contrat(s)]])=0,"",SalCommune[[#This Row],[Total global]]-ABS(SalCommune[[#This Row],[Dont non opposable]]))</f>
        <v/>
      </c>
      <c r="AC175" s="8"/>
      <c r="AD175" s="63"/>
      <c r="AE175" s="430"/>
      <c r="AF175" s="430"/>
      <c r="AG175" s="430"/>
      <c r="AH175" s="181"/>
      <c r="AI175" s="194">
        <f>IF(COUNTA(SalCommune[[#This Row],[N°]:[heures annuelles
selon contrat(s)]])=0,"",REVEX!$E$9)</f>
        <v>0</v>
      </c>
      <c r="AJ175" s="72" t="str">
        <f>IF(SalCommune[[#This Row],[Allocations fonctions]]="","",IF(ISNA(VLOOKUP(SalCommune[[#This Row],[Allocations fonctions]],DROPDOWN[Dropdown82],1,FALSE))=TRUE,"&lt;-- Veuillez choisir l'allocation parmis la liste déroulante.",""))</f>
        <v/>
      </c>
    </row>
    <row r="176" spans="1:36" x14ac:dyDescent="0.25">
      <c r="A176" s="72" t="str">
        <f>IF(SalCommune[[#This Row],[Statut]]="","",IF(ISNA(VLOOKUP(SalCommune[[#This Row],[Statut]],'Grille communale'!$B$3:$B$5,1,FALSE))=TRUE,"Veuillez choisir le statut parmis la liste déroulante",""))</f>
        <v/>
      </c>
      <c r="B176" s="725" t="str">
        <f>IF(SalCommune[[#This Row],[Matricule]]="","",MAX($B$7:B175)+1)</f>
        <v/>
      </c>
      <c r="C176" s="8"/>
      <c r="D176" s="8"/>
      <c r="E176" s="20"/>
      <c r="F176" s="8"/>
      <c r="G176" s="8"/>
      <c r="H176" s="9"/>
      <c r="I176" s="9"/>
      <c r="J176" s="9"/>
      <c r="K176" s="10"/>
      <c r="L176" s="10"/>
      <c r="M176" s="9"/>
      <c r="N176" s="9"/>
      <c r="O176" s="9"/>
      <c r="P17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6" s="9"/>
      <c r="R176" s="9"/>
      <c r="S176" s="9"/>
      <c r="T176" s="37"/>
      <c r="U176" s="37"/>
      <c r="V176" s="37"/>
      <c r="W176" s="37"/>
      <c r="X176" s="37"/>
      <c r="Y176" s="37"/>
      <c r="Z17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6" s="37"/>
      <c r="AB176" s="66" t="str">
        <f>IF(COUNTA(SalCommune[[#This Row],[Nom]:[heures annuelles
selon contrat(s)]])=0,"",SalCommune[[#This Row],[Total global]]-ABS(SalCommune[[#This Row],[Dont non opposable]]))</f>
        <v/>
      </c>
      <c r="AC176" s="8"/>
      <c r="AD176" s="63"/>
      <c r="AE176" s="430"/>
      <c r="AF176" s="430"/>
      <c r="AG176" s="430"/>
      <c r="AH176" s="181"/>
      <c r="AI176" s="194">
        <f>IF(COUNTA(SalCommune[[#This Row],[N°]:[heures annuelles
selon contrat(s)]])=0,"",REVEX!$E$9)</f>
        <v>0</v>
      </c>
      <c r="AJ176" s="72" t="str">
        <f>IF(SalCommune[[#This Row],[Allocations fonctions]]="","",IF(ISNA(VLOOKUP(SalCommune[[#This Row],[Allocations fonctions]],DROPDOWN[Dropdown82],1,FALSE))=TRUE,"&lt;-- Veuillez choisir l'allocation parmis la liste déroulante.",""))</f>
        <v/>
      </c>
    </row>
    <row r="177" spans="1:36" x14ac:dyDescent="0.25">
      <c r="A177" s="72" t="str">
        <f>IF(SalCommune[[#This Row],[Statut]]="","",IF(ISNA(VLOOKUP(SalCommune[[#This Row],[Statut]],'Grille communale'!$B$3:$B$5,1,FALSE))=TRUE,"Veuillez choisir le statut parmis la liste déroulante",""))</f>
        <v/>
      </c>
      <c r="B177" s="725" t="str">
        <f>IF(SalCommune[[#This Row],[Matricule]]="","",MAX($B$7:B176)+1)</f>
        <v/>
      </c>
      <c r="C177" s="8"/>
      <c r="D177" s="8"/>
      <c r="E177" s="20"/>
      <c r="F177" s="8"/>
      <c r="G177" s="8"/>
      <c r="H177" s="9"/>
      <c r="I177" s="9"/>
      <c r="J177" s="9"/>
      <c r="K177" s="10"/>
      <c r="L177" s="10"/>
      <c r="M177" s="9"/>
      <c r="N177" s="9"/>
      <c r="O177" s="9"/>
      <c r="P17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7" s="9"/>
      <c r="R177" s="9"/>
      <c r="S177" s="9"/>
      <c r="T177" s="37"/>
      <c r="U177" s="37"/>
      <c r="V177" s="37"/>
      <c r="W177" s="37"/>
      <c r="X177" s="37"/>
      <c r="Y177" s="37"/>
      <c r="Z17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7" s="37"/>
      <c r="AB177" s="66" t="str">
        <f>IF(COUNTA(SalCommune[[#This Row],[Nom]:[heures annuelles
selon contrat(s)]])=0,"",SalCommune[[#This Row],[Total global]]-ABS(SalCommune[[#This Row],[Dont non opposable]]))</f>
        <v/>
      </c>
      <c r="AC177" s="8"/>
      <c r="AD177" s="63"/>
      <c r="AE177" s="430"/>
      <c r="AF177" s="430"/>
      <c r="AG177" s="430"/>
      <c r="AH177" s="181"/>
      <c r="AI177" s="194">
        <f>IF(COUNTA(SalCommune[[#This Row],[N°]:[heures annuelles
selon contrat(s)]])=0,"",REVEX!$E$9)</f>
        <v>0</v>
      </c>
      <c r="AJ177" s="72" t="str">
        <f>IF(SalCommune[[#This Row],[Allocations fonctions]]="","",IF(ISNA(VLOOKUP(SalCommune[[#This Row],[Allocations fonctions]],DROPDOWN[Dropdown82],1,FALSE))=TRUE,"&lt;-- Veuillez choisir l'allocation parmis la liste déroulante.",""))</f>
        <v/>
      </c>
    </row>
    <row r="178" spans="1:36" x14ac:dyDescent="0.25">
      <c r="A178" s="72" t="str">
        <f>IF(SalCommune[[#This Row],[Statut]]="","",IF(ISNA(VLOOKUP(SalCommune[[#This Row],[Statut]],'Grille communale'!$B$3:$B$5,1,FALSE))=TRUE,"Veuillez choisir le statut parmis la liste déroulante",""))</f>
        <v/>
      </c>
      <c r="B178" s="725" t="str">
        <f>IF(SalCommune[[#This Row],[Matricule]]="","",MAX($B$7:B177)+1)</f>
        <v/>
      </c>
      <c r="C178" s="8"/>
      <c r="D178" s="8"/>
      <c r="E178" s="20"/>
      <c r="F178" s="8"/>
      <c r="G178" s="8"/>
      <c r="H178" s="9"/>
      <c r="I178" s="9"/>
      <c r="J178" s="9"/>
      <c r="K178" s="10"/>
      <c r="L178" s="10"/>
      <c r="M178" s="9"/>
      <c r="N178" s="9"/>
      <c r="O178" s="9"/>
      <c r="P17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8" s="9"/>
      <c r="R178" s="9"/>
      <c r="S178" s="9"/>
      <c r="T178" s="37"/>
      <c r="U178" s="37"/>
      <c r="V178" s="37"/>
      <c r="W178" s="37"/>
      <c r="X178" s="37"/>
      <c r="Y178" s="37"/>
      <c r="Z17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8" s="37"/>
      <c r="AB178" s="66" t="str">
        <f>IF(COUNTA(SalCommune[[#This Row],[Nom]:[heures annuelles
selon contrat(s)]])=0,"",SalCommune[[#This Row],[Total global]]-ABS(SalCommune[[#This Row],[Dont non opposable]]))</f>
        <v/>
      </c>
      <c r="AC178" s="8"/>
      <c r="AD178" s="63"/>
      <c r="AE178" s="430"/>
      <c r="AF178" s="430"/>
      <c r="AG178" s="430"/>
      <c r="AH178" s="181"/>
      <c r="AI178" s="194">
        <f>IF(COUNTA(SalCommune[[#This Row],[N°]:[heures annuelles
selon contrat(s)]])=0,"",REVEX!$E$9)</f>
        <v>0</v>
      </c>
      <c r="AJ178" s="72" t="str">
        <f>IF(SalCommune[[#This Row],[Allocations fonctions]]="","",IF(ISNA(VLOOKUP(SalCommune[[#This Row],[Allocations fonctions]],DROPDOWN[Dropdown82],1,FALSE))=TRUE,"&lt;-- Veuillez choisir l'allocation parmis la liste déroulante.",""))</f>
        <v/>
      </c>
    </row>
    <row r="179" spans="1:36" x14ac:dyDescent="0.25">
      <c r="A179" s="72" t="str">
        <f>IF(SalCommune[[#This Row],[Statut]]="","",IF(ISNA(VLOOKUP(SalCommune[[#This Row],[Statut]],'Grille communale'!$B$3:$B$5,1,FALSE))=TRUE,"Veuillez choisir le statut parmis la liste déroulante",""))</f>
        <v/>
      </c>
      <c r="B179" s="725" t="str">
        <f>IF(SalCommune[[#This Row],[Matricule]]="","",MAX($B$7:B178)+1)</f>
        <v/>
      </c>
      <c r="C179" s="8"/>
      <c r="D179" s="8"/>
      <c r="E179" s="20"/>
      <c r="F179" s="8"/>
      <c r="G179" s="8"/>
      <c r="H179" s="9"/>
      <c r="I179" s="9"/>
      <c r="J179" s="9"/>
      <c r="K179" s="10"/>
      <c r="L179" s="10"/>
      <c r="M179" s="9"/>
      <c r="N179" s="9"/>
      <c r="O179" s="9"/>
      <c r="P17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79" s="9"/>
      <c r="R179" s="9"/>
      <c r="S179" s="9"/>
      <c r="T179" s="37"/>
      <c r="U179" s="37"/>
      <c r="V179" s="37"/>
      <c r="W179" s="37"/>
      <c r="X179" s="37"/>
      <c r="Y179" s="37"/>
      <c r="Z17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79" s="37"/>
      <c r="AB179" s="66" t="str">
        <f>IF(COUNTA(SalCommune[[#This Row],[Nom]:[heures annuelles
selon contrat(s)]])=0,"",SalCommune[[#This Row],[Total global]]-ABS(SalCommune[[#This Row],[Dont non opposable]]))</f>
        <v/>
      </c>
      <c r="AC179" s="8"/>
      <c r="AD179" s="63"/>
      <c r="AE179" s="430"/>
      <c r="AF179" s="430"/>
      <c r="AG179" s="430"/>
      <c r="AH179" s="181"/>
      <c r="AI179" s="194">
        <f>IF(COUNTA(SalCommune[[#This Row],[N°]:[heures annuelles
selon contrat(s)]])=0,"",REVEX!$E$9)</f>
        <v>0</v>
      </c>
      <c r="AJ179" s="72" t="str">
        <f>IF(SalCommune[[#This Row],[Allocations fonctions]]="","",IF(ISNA(VLOOKUP(SalCommune[[#This Row],[Allocations fonctions]],DROPDOWN[Dropdown82],1,FALSE))=TRUE,"&lt;-- Veuillez choisir l'allocation parmis la liste déroulante.",""))</f>
        <v/>
      </c>
    </row>
    <row r="180" spans="1:36" x14ac:dyDescent="0.25">
      <c r="A180" s="72" t="str">
        <f>IF(SalCommune[[#This Row],[Statut]]="","",IF(ISNA(VLOOKUP(SalCommune[[#This Row],[Statut]],'Grille communale'!$B$3:$B$5,1,FALSE))=TRUE,"Veuillez choisir le statut parmis la liste déroulante",""))</f>
        <v/>
      </c>
      <c r="B180" s="725" t="str">
        <f>IF(SalCommune[[#This Row],[Matricule]]="","",MAX($B$7:B179)+1)</f>
        <v/>
      </c>
      <c r="C180" s="8"/>
      <c r="D180" s="8"/>
      <c r="E180" s="20"/>
      <c r="F180" s="8"/>
      <c r="G180" s="8"/>
      <c r="H180" s="9"/>
      <c r="I180" s="9"/>
      <c r="J180" s="9"/>
      <c r="K180" s="10"/>
      <c r="L180" s="10"/>
      <c r="M180" s="9"/>
      <c r="N180" s="9"/>
      <c r="O180" s="9"/>
      <c r="P18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0" s="9"/>
      <c r="R180" s="9"/>
      <c r="S180" s="9"/>
      <c r="T180" s="37"/>
      <c r="U180" s="37"/>
      <c r="V180" s="37"/>
      <c r="W180" s="37"/>
      <c r="X180" s="37"/>
      <c r="Y180" s="37"/>
      <c r="Z18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0" s="37"/>
      <c r="AB180" s="66" t="str">
        <f>IF(COUNTA(SalCommune[[#This Row],[Nom]:[heures annuelles
selon contrat(s)]])=0,"",SalCommune[[#This Row],[Total global]]-ABS(SalCommune[[#This Row],[Dont non opposable]]))</f>
        <v/>
      </c>
      <c r="AC180" s="8"/>
      <c r="AD180" s="63"/>
      <c r="AE180" s="430"/>
      <c r="AF180" s="430"/>
      <c r="AG180" s="430"/>
      <c r="AH180" s="181"/>
      <c r="AI180" s="194">
        <f>IF(COUNTA(SalCommune[[#This Row],[N°]:[heures annuelles
selon contrat(s)]])=0,"",REVEX!$E$9)</f>
        <v>0</v>
      </c>
      <c r="AJ180" s="72" t="str">
        <f>IF(SalCommune[[#This Row],[Allocations fonctions]]="","",IF(ISNA(VLOOKUP(SalCommune[[#This Row],[Allocations fonctions]],DROPDOWN[Dropdown82],1,FALSE))=TRUE,"&lt;-- Veuillez choisir l'allocation parmis la liste déroulante.",""))</f>
        <v/>
      </c>
    </row>
    <row r="181" spans="1:36" x14ac:dyDescent="0.25">
      <c r="A181" s="72" t="str">
        <f>IF(SalCommune[[#This Row],[Statut]]="","",IF(ISNA(VLOOKUP(SalCommune[[#This Row],[Statut]],'Grille communale'!$B$3:$B$5,1,FALSE))=TRUE,"Veuillez choisir le statut parmis la liste déroulante",""))</f>
        <v/>
      </c>
      <c r="B181" s="725" t="str">
        <f>IF(SalCommune[[#This Row],[Matricule]]="","",MAX($B$7:B180)+1)</f>
        <v/>
      </c>
      <c r="C181" s="8"/>
      <c r="D181" s="8"/>
      <c r="E181" s="20"/>
      <c r="F181" s="8"/>
      <c r="G181" s="8"/>
      <c r="H181" s="9"/>
      <c r="I181" s="9"/>
      <c r="J181" s="9"/>
      <c r="K181" s="10"/>
      <c r="L181" s="10"/>
      <c r="M181" s="9"/>
      <c r="N181" s="9"/>
      <c r="O181" s="9"/>
      <c r="P18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1" s="9"/>
      <c r="R181" s="9"/>
      <c r="S181" s="9"/>
      <c r="T181" s="37"/>
      <c r="U181" s="37"/>
      <c r="V181" s="37"/>
      <c r="W181" s="37"/>
      <c r="X181" s="37"/>
      <c r="Y181" s="37"/>
      <c r="Z18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1" s="37"/>
      <c r="AB181" s="66" t="str">
        <f>IF(COUNTA(SalCommune[[#This Row],[Nom]:[heures annuelles
selon contrat(s)]])=0,"",SalCommune[[#This Row],[Total global]]-ABS(SalCommune[[#This Row],[Dont non opposable]]))</f>
        <v/>
      </c>
      <c r="AC181" s="8"/>
      <c r="AD181" s="63"/>
      <c r="AE181" s="430"/>
      <c r="AF181" s="430"/>
      <c r="AG181" s="430"/>
      <c r="AH181" s="181"/>
      <c r="AI181" s="194">
        <f>IF(COUNTA(SalCommune[[#This Row],[N°]:[heures annuelles
selon contrat(s)]])=0,"",REVEX!$E$9)</f>
        <v>0</v>
      </c>
      <c r="AJ181" s="72" t="str">
        <f>IF(SalCommune[[#This Row],[Allocations fonctions]]="","",IF(ISNA(VLOOKUP(SalCommune[[#This Row],[Allocations fonctions]],DROPDOWN[Dropdown82],1,FALSE))=TRUE,"&lt;-- Veuillez choisir l'allocation parmis la liste déroulante.",""))</f>
        <v/>
      </c>
    </row>
    <row r="182" spans="1:36" x14ac:dyDescent="0.25">
      <c r="A182" s="72" t="str">
        <f>IF(SalCommune[[#This Row],[Statut]]="","",IF(ISNA(VLOOKUP(SalCommune[[#This Row],[Statut]],'Grille communale'!$B$3:$B$5,1,FALSE))=TRUE,"Veuillez choisir le statut parmis la liste déroulante",""))</f>
        <v/>
      </c>
      <c r="B182" s="725" t="str">
        <f>IF(SalCommune[[#This Row],[Matricule]]="","",MAX($B$7:B181)+1)</f>
        <v/>
      </c>
      <c r="C182" s="8"/>
      <c r="D182" s="8"/>
      <c r="E182" s="20"/>
      <c r="F182" s="8"/>
      <c r="G182" s="8"/>
      <c r="H182" s="9"/>
      <c r="I182" s="9"/>
      <c r="J182" s="9"/>
      <c r="K182" s="10"/>
      <c r="L182" s="10"/>
      <c r="M182" s="9"/>
      <c r="N182" s="9"/>
      <c r="O182" s="9"/>
      <c r="P18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2" s="9"/>
      <c r="R182" s="9"/>
      <c r="S182" s="9"/>
      <c r="T182" s="37"/>
      <c r="U182" s="37"/>
      <c r="V182" s="37"/>
      <c r="W182" s="37"/>
      <c r="X182" s="37"/>
      <c r="Y182" s="37"/>
      <c r="Z18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2" s="37"/>
      <c r="AB182" s="66" t="str">
        <f>IF(COUNTA(SalCommune[[#This Row],[Nom]:[heures annuelles
selon contrat(s)]])=0,"",SalCommune[[#This Row],[Total global]]-ABS(SalCommune[[#This Row],[Dont non opposable]]))</f>
        <v/>
      </c>
      <c r="AC182" s="8"/>
      <c r="AD182" s="63"/>
      <c r="AE182" s="430"/>
      <c r="AF182" s="430"/>
      <c r="AG182" s="430"/>
      <c r="AH182" s="181"/>
      <c r="AI182" s="194">
        <f>IF(COUNTA(SalCommune[[#This Row],[N°]:[heures annuelles
selon contrat(s)]])=0,"",REVEX!$E$9)</f>
        <v>0</v>
      </c>
      <c r="AJ182" s="72" t="str">
        <f>IF(SalCommune[[#This Row],[Allocations fonctions]]="","",IF(ISNA(VLOOKUP(SalCommune[[#This Row],[Allocations fonctions]],DROPDOWN[Dropdown82],1,FALSE))=TRUE,"&lt;-- Veuillez choisir l'allocation parmis la liste déroulante.",""))</f>
        <v/>
      </c>
    </row>
    <row r="183" spans="1:36" x14ac:dyDescent="0.25">
      <c r="A183" s="72" t="str">
        <f>IF(SalCommune[[#This Row],[Statut]]="","",IF(ISNA(VLOOKUP(SalCommune[[#This Row],[Statut]],'Grille communale'!$B$3:$B$5,1,FALSE))=TRUE,"Veuillez choisir le statut parmis la liste déroulante",""))</f>
        <v/>
      </c>
      <c r="B183" s="725" t="str">
        <f>IF(SalCommune[[#This Row],[Matricule]]="","",MAX($B$7:B182)+1)</f>
        <v/>
      </c>
      <c r="C183" s="8"/>
      <c r="D183" s="8"/>
      <c r="E183" s="20"/>
      <c r="F183" s="8"/>
      <c r="G183" s="8"/>
      <c r="H183" s="9"/>
      <c r="I183" s="9"/>
      <c r="J183" s="9"/>
      <c r="K183" s="10"/>
      <c r="L183" s="10"/>
      <c r="M183" s="9"/>
      <c r="N183" s="9"/>
      <c r="O183" s="9"/>
      <c r="P18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3" s="9"/>
      <c r="R183" s="9"/>
      <c r="S183" s="9"/>
      <c r="T183" s="37"/>
      <c r="U183" s="37"/>
      <c r="V183" s="37"/>
      <c r="W183" s="37"/>
      <c r="X183" s="37"/>
      <c r="Y183" s="37"/>
      <c r="Z18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3" s="37"/>
      <c r="AB183" s="66" t="str">
        <f>IF(COUNTA(SalCommune[[#This Row],[Nom]:[heures annuelles
selon contrat(s)]])=0,"",SalCommune[[#This Row],[Total global]]-ABS(SalCommune[[#This Row],[Dont non opposable]]))</f>
        <v/>
      </c>
      <c r="AC183" s="8"/>
      <c r="AD183" s="63"/>
      <c r="AE183" s="430"/>
      <c r="AF183" s="430"/>
      <c r="AG183" s="430"/>
      <c r="AH183" s="181"/>
      <c r="AI183" s="194">
        <f>IF(COUNTA(SalCommune[[#This Row],[N°]:[heures annuelles
selon contrat(s)]])=0,"",REVEX!$E$9)</f>
        <v>0</v>
      </c>
      <c r="AJ183" s="72" t="str">
        <f>IF(SalCommune[[#This Row],[Allocations fonctions]]="","",IF(ISNA(VLOOKUP(SalCommune[[#This Row],[Allocations fonctions]],DROPDOWN[Dropdown82],1,FALSE))=TRUE,"&lt;-- Veuillez choisir l'allocation parmis la liste déroulante.",""))</f>
        <v/>
      </c>
    </row>
    <row r="184" spans="1:36" x14ac:dyDescent="0.25">
      <c r="A184" s="72" t="str">
        <f>IF(SalCommune[[#This Row],[Statut]]="","",IF(ISNA(VLOOKUP(SalCommune[[#This Row],[Statut]],'Grille communale'!$B$3:$B$5,1,FALSE))=TRUE,"Veuillez choisir le statut parmis la liste déroulante",""))</f>
        <v/>
      </c>
      <c r="B184" s="725" t="str">
        <f>IF(SalCommune[[#This Row],[Matricule]]="","",MAX($B$7:B183)+1)</f>
        <v/>
      </c>
      <c r="C184" s="8"/>
      <c r="D184" s="8"/>
      <c r="E184" s="20"/>
      <c r="F184" s="8"/>
      <c r="G184" s="8"/>
      <c r="H184" s="9"/>
      <c r="I184" s="9"/>
      <c r="J184" s="9"/>
      <c r="K184" s="10"/>
      <c r="L184" s="10"/>
      <c r="M184" s="9"/>
      <c r="N184" s="9"/>
      <c r="O184" s="9"/>
      <c r="P18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4" s="9"/>
      <c r="R184" s="9"/>
      <c r="S184" s="9"/>
      <c r="T184" s="37"/>
      <c r="U184" s="37"/>
      <c r="V184" s="37"/>
      <c r="W184" s="37"/>
      <c r="X184" s="37"/>
      <c r="Y184" s="37"/>
      <c r="Z18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4" s="37"/>
      <c r="AB184" s="66" t="str">
        <f>IF(COUNTA(SalCommune[[#This Row],[Nom]:[heures annuelles
selon contrat(s)]])=0,"",SalCommune[[#This Row],[Total global]]-ABS(SalCommune[[#This Row],[Dont non opposable]]))</f>
        <v/>
      </c>
      <c r="AC184" s="8"/>
      <c r="AD184" s="63"/>
      <c r="AE184" s="430"/>
      <c r="AF184" s="430"/>
      <c r="AG184" s="430"/>
      <c r="AH184" s="181"/>
      <c r="AI184" s="194">
        <f>IF(COUNTA(SalCommune[[#This Row],[N°]:[heures annuelles
selon contrat(s)]])=0,"",REVEX!$E$9)</f>
        <v>0</v>
      </c>
      <c r="AJ184" s="72" t="str">
        <f>IF(SalCommune[[#This Row],[Allocations fonctions]]="","",IF(ISNA(VLOOKUP(SalCommune[[#This Row],[Allocations fonctions]],DROPDOWN[Dropdown82],1,FALSE))=TRUE,"&lt;-- Veuillez choisir l'allocation parmis la liste déroulante.",""))</f>
        <v/>
      </c>
    </row>
    <row r="185" spans="1:36" x14ac:dyDescent="0.25">
      <c r="A185" s="72" t="str">
        <f>IF(SalCommune[[#This Row],[Statut]]="","",IF(ISNA(VLOOKUP(SalCommune[[#This Row],[Statut]],'Grille communale'!$B$3:$B$5,1,FALSE))=TRUE,"Veuillez choisir le statut parmis la liste déroulante",""))</f>
        <v/>
      </c>
      <c r="B185" s="725" t="str">
        <f>IF(SalCommune[[#This Row],[Matricule]]="","",MAX($B$7:B184)+1)</f>
        <v/>
      </c>
      <c r="C185" s="8"/>
      <c r="D185" s="8"/>
      <c r="E185" s="20"/>
      <c r="F185" s="8"/>
      <c r="G185" s="8"/>
      <c r="H185" s="9"/>
      <c r="I185" s="9"/>
      <c r="J185" s="9"/>
      <c r="K185" s="10"/>
      <c r="L185" s="10"/>
      <c r="M185" s="9"/>
      <c r="N185" s="9"/>
      <c r="O185" s="9"/>
      <c r="P18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5" s="9"/>
      <c r="R185" s="9"/>
      <c r="S185" s="9"/>
      <c r="T185" s="37"/>
      <c r="U185" s="37"/>
      <c r="V185" s="37"/>
      <c r="W185" s="37"/>
      <c r="X185" s="37"/>
      <c r="Y185" s="37"/>
      <c r="Z18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5" s="37"/>
      <c r="AB185" s="66" t="str">
        <f>IF(COUNTA(SalCommune[[#This Row],[Nom]:[heures annuelles
selon contrat(s)]])=0,"",SalCommune[[#This Row],[Total global]]-ABS(SalCommune[[#This Row],[Dont non opposable]]))</f>
        <v/>
      </c>
      <c r="AC185" s="8"/>
      <c r="AD185" s="63"/>
      <c r="AE185" s="430"/>
      <c r="AF185" s="430"/>
      <c r="AG185" s="430"/>
      <c r="AH185" s="181"/>
      <c r="AI185" s="194">
        <f>IF(COUNTA(SalCommune[[#This Row],[N°]:[heures annuelles
selon contrat(s)]])=0,"",REVEX!$E$9)</f>
        <v>0</v>
      </c>
      <c r="AJ185" s="72" t="str">
        <f>IF(SalCommune[[#This Row],[Allocations fonctions]]="","",IF(ISNA(VLOOKUP(SalCommune[[#This Row],[Allocations fonctions]],DROPDOWN[Dropdown82],1,FALSE))=TRUE,"&lt;-- Veuillez choisir l'allocation parmis la liste déroulante.",""))</f>
        <v/>
      </c>
    </row>
    <row r="186" spans="1:36" x14ac:dyDescent="0.25">
      <c r="A186" s="72" t="str">
        <f>IF(SalCommune[[#This Row],[Statut]]="","",IF(ISNA(VLOOKUP(SalCommune[[#This Row],[Statut]],'Grille communale'!$B$3:$B$5,1,FALSE))=TRUE,"Veuillez choisir le statut parmis la liste déroulante",""))</f>
        <v/>
      </c>
      <c r="B186" s="725" t="str">
        <f>IF(SalCommune[[#This Row],[Matricule]]="","",MAX($B$7:B185)+1)</f>
        <v/>
      </c>
      <c r="C186" s="8"/>
      <c r="D186" s="8"/>
      <c r="E186" s="20"/>
      <c r="F186" s="8"/>
      <c r="G186" s="8"/>
      <c r="H186" s="9"/>
      <c r="I186" s="9"/>
      <c r="J186" s="9"/>
      <c r="K186" s="10"/>
      <c r="L186" s="10"/>
      <c r="M186" s="9"/>
      <c r="N186" s="9"/>
      <c r="O186" s="9"/>
      <c r="P18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6" s="9"/>
      <c r="R186" s="9"/>
      <c r="S186" s="9"/>
      <c r="T186" s="37"/>
      <c r="U186" s="37"/>
      <c r="V186" s="37"/>
      <c r="W186" s="37"/>
      <c r="X186" s="37"/>
      <c r="Y186" s="37"/>
      <c r="Z18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6" s="37"/>
      <c r="AB186" s="66" t="str">
        <f>IF(COUNTA(SalCommune[[#This Row],[Nom]:[heures annuelles
selon contrat(s)]])=0,"",SalCommune[[#This Row],[Total global]]-ABS(SalCommune[[#This Row],[Dont non opposable]]))</f>
        <v/>
      </c>
      <c r="AC186" s="8"/>
      <c r="AD186" s="63"/>
      <c r="AE186" s="430"/>
      <c r="AF186" s="430"/>
      <c r="AG186" s="430"/>
      <c r="AH186" s="181"/>
      <c r="AI186" s="194">
        <f>IF(COUNTA(SalCommune[[#This Row],[N°]:[heures annuelles
selon contrat(s)]])=0,"",REVEX!$E$9)</f>
        <v>0</v>
      </c>
      <c r="AJ186" s="72" t="str">
        <f>IF(SalCommune[[#This Row],[Allocations fonctions]]="","",IF(ISNA(VLOOKUP(SalCommune[[#This Row],[Allocations fonctions]],DROPDOWN[Dropdown82],1,FALSE))=TRUE,"&lt;-- Veuillez choisir l'allocation parmis la liste déroulante.",""))</f>
        <v/>
      </c>
    </row>
    <row r="187" spans="1:36" x14ac:dyDescent="0.25">
      <c r="A187" s="72" t="str">
        <f>IF(SalCommune[[#This Row],[Statut]]="","",IF(ISNA(VLOOKUP(SalCommune[[#This Row],[Statut]],'Grille communale'!$B$3:$B$5,1,FALSE))=TRUE,"Veuillez choisir le statut parmis la liste déroulante",""))</f>
        <v/>
      </c>
      <c r="B187" s="725" t="str">
        <f>IF(SalCommune[[#This Row],[Matricule]]="","",MAX($B$7:B186)+1)</f>
        <v/>
      </c>
      <c r="C187" s="8"/>
      <c r="D187" s="8"/>
      <c r="E187" s="20"/>
      <c r="F187" s="8"/>
      <c r="G187" s="8"/>
      <c r="H187" s="9"/>
      <c r="I187" s="9"/>
      <c r="J187" s="9"/>
      <c r="K187" s="10"/>
      <c r="L187" s="10"/>
      <c r="M187" s="9"/>
      <c r="N187" s="9"/>
      <c r="O187" s="9"/>
      <c r="P18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7" s="9"/>
      <c r="R187" s="9"/>
      <c r="S187" s="9"/>
      <c r="T187" s="37"/>
      <c r="U187" s="37"/>
      <c r="V187" s="37"/>
      <c r="W187" s="37"/>
      <c r="X187" s="37"/>
      <c r="Y187" s="37"/>
      <c r="Z18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7" s="37"/>
      <c r="AB187" s="66" t="str">
        <f>IF(COUNTA(SalCommune[[#This Row],[Nom]:[heures annuelles
selon contrat(s)]])=0,"",SalCommune[[#This Row],[Total global]]-ABS(SalCommune[[#This Row],[Dont non opposable]]))</f>
        <v/>
      </c>
      <c r="AC187" s="8"/>
      <c r="AD187" s="63"/>
      <c r="AE187" s="430"/>
      <c r="AF187" s="430"/>
      <c r="AG187" s="430"/>
      <c r="AH187" s="181"/>
      <c r="AI187" s="194">
        <f>IF(COUNTA(SalCommune[[#This Row],[N°]:[heures annuelles
selon contrat(s)]])=0,"",REVEX!$E$9)</f>
        <v>0</v>
      </c>
      <c r="AJ187" s="72" t="str">
        <f>IF(SalCommune[[#This Row],[Allocations fonctions]]="","",IF(ISNA(VLOOKUP(SalCommune[[#This Row],[Allocations fonctions]],DROPDOWN[Dropdown82],1,FALSE))=TRUE,"&lt;-- Veuillez choisir l'allocation parmis la liste déroulante.",""))</f>
        <v/>
      </c>
    </row>
    <row r="188" spans="1:36" x14ac:dyDescent="0.25">
      <c r="A188" s="72" t="str">
        <f>IF(SalCommune[[#This Row],[Statut]]="","",IF(ISNA(VLOOKUP(SalCommune[[#This Row],[Statut]],'Grille communale'!$B$3:$B$5,1,FALSE))=TRUE,"Veuillez choisir le statut parmis la liste déroulante",""))</f>
        <v/>
      </c>
      <c r="B188" s="725" t="str">
        <f>IF(SalCommune[[#This Row],[Matricule]]="","",MAX($B$7:B187)+1)</f>
        <v/>
      </c>
      <c r="C188" s="8"/>
      <c r="D188" s="8"/>
      <c r="E188" s="20"/>
      <c r="F188" s="8"/>
      <c r="G188" s="8"/>
      <c r="H188" s="9"/>
      <c r="I188" s="9"/>
      <c r="J188" s="9"/>
      <c r="K188" s="10"/>
      <c r="L188" s="10"/>
      <c r="M188" s="9"/>
      <c r="N188" s="9"/>
      <c r="O188" s="9"/>
      <c r="P18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8" s="9"/>
      <c r="R188" s="9"/>
      <c r="S188" s="9"/>
      <c r="T188" s="37"/>
      <c r="U188" s="37"/>
      <c r="V188" s="37"/>
      <c r="W188" s="37"/>
      <c r="X188" s="37"/>
      <c r="Y188" s="37"/>
      <c r="Z18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8" s="37"/>
      <c r="AB188" s="66" t="str">
        <f>IF(COUNTA(SalCommune[[#This Row],[Nom]:[heures annuelles
selon contrat(s)]])=0,"",SalCommune[[#This Row],[Total global]]-ABS(SalCommune[[#This Row],[Dont non opposable]]))</f>
        <v/>
      </c>
      <c r="AC188" s="8"/>
      <c r="AD188" s="63"/>
      <c r="AE188" s="430"/>
      <c r="AF188" s="430"/>
      <c r="AG188" s="430"/>
      <c r="AH188" s="181"/>
      <c r="AI188" s="194">
        <f>IF(COUNTA(SalCommune[[#This Row],[N°]:[heures annuelles
selon contrat(s)]])=0,"",REVEX!$E$9)</f>
        <v>0</v>
      </c>
      <c r="AJ188" s="72" t="str">
        <f>IF(SalCommune[[#This Row],[Allocations fonctions]]="","",IF(ISNA(VLOOKUP(SalCommune[[#This Row],[Allocations fonctions]],DROPDOWN[Dropdown82],1,FALSE))=TRUE,"&lt;-- Veuillez choisir l'allocation parmis la liste déroulante.",""))</f>
        <v/>
      </c>
    </row>
    <row r="189" spans="1:36" x14ac:dyDescent="0.25">
      <c r="A189" s="72" t="str">
        <f>IF(SalCommune[[#This Row],[Statut]]="","",IF(ISNA(VLOOKUP(SalCommune[[#This Row],[Statut]],'Grille communale'!$B$3:$B$5,1,FALSE))=TRUE,"Veuillez choisir le statut parmis la liste déroulante",""))</f>
        <v/>
      </c>
      <c r="B189" s="725" t="str">
        <f>IF(SalCommune[[#This Row],[Matricule]]="","",MAX($B$7:B188)+1)</f>
        <v/>
      </c>
      <c r="C189" s="8"/>
      <c r="D189" s="8"/>
      <c r="E189" s="20"/>
      <c r="F189" s="8"/>
      <c r="G189" s="8"/>
      <c r="H189" s="9"/>
      <c r="I189" s="9"/>
      <c r="J189" s="9"/>
      <c r="K189" s="10"/>
      <c r="L189" s="10"/>
      <c r="M189" s="9"/>
      <c r="N189" s="9"/>
      <c r="O189" s="9"/>
      <c r="P18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89" s="9"/>
      <c r="R189" s="9"/>
      <c r="S189" s="9"/>
      <c r="T189" s="37"/>
      <c r="U189" s="37"/>
      <c r="V189" s="37"/>
      <c r="W189" s="37"/>
      <c r="X189" s="37"/>
      <c r="Y189" s="37"/>
      <c r="Z18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89" s="37"/>
      <c r="AB189" s="66" t="str">
        <f>IF(COUNTA(SalCommune[[#This Row],[Nom]:[heures annuelles
selon contrat(s)]])=0,"",SalCommune[[#This Row],[Total global]]-ABS(SalCommune[[#This Row],[Dont non opposable]]))</f>
        <v/>
      </c>
      <c r="AC189" s="8"/>
      <c r="AD189" s="63"/>
      <c r="AE189" s="430"/>
      <c r="AF189" s="430"/>
      <c r="AG189" s="430"/>
      <c r="AH189" s="181"/>
      <c r="AI189" s="194">
        <f>IF(COUNTA(SalCommune[[#This Row],[N°]:[heures annuelles
selon contrat(s)]])=0,"",REVEX!$E$9)</f>
        <v>0</v>
      </c>
      <c r="AJ189" s="72" t="str">
        <f>IF(SalCommune[[#This Row],[Allocations fonctions]]="","",IF(ISNA(VLOOKUP(SalCommune[[#This Row],[Allocations fonctions]],DROPDOWN[Dropdown82],1,FALSE))=TRUE,"&lt;-- Veuillez choisir l'allocation parmis la liste déroulante.",""))</f>
        <v/>
      </c>
    </row>
    <row r="190" spans="1:36" x14ac:dyDescent="0.25">
      <c r="A190" s="72" t="str">
        <f>IF(SalCommune[[#This Row],[Statut]]="","",IF(ISNA(VLOOKUP(SalCommune[[#This Row],[Statut]],'Grille communale'!$B$3:$B$5,1,FALSE))=TRUE,"Veuillez choisir le statut parmis la liste déroulante",""))</f>
        <v/>
      </c>
      <c r="B190" s="725" t="str">
        <f>IF(SalCommune[[#This Row],[Matricule]]="","",MAX($B$7:B189)+1)</f>
        <v/>
      </c>
      <c r="C190" s="8"/>
      <c r="D190" s="8"/>
      <c r="E190" s="20"/>
      <c r="F190" s="8"/>
      <c r="G190" s="8"/>
      <c r="H190" s="9"/>
      <c r="I190" s="9"/>
      <c r="J190" s="9"/>
      <c r="K190" s="10"/>
      <c r="L190" s="10"/>
      <c r="M190" s="9"/>
      <c r="N190" s="9"/>
      <c r="O190" s="9"/>
      <c r="P19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0" s="9"/>
      <c r="R190" s="9"/>
      <c r="S190" s="9"/>
      <c r="T190" s="37"/>
      <c r="U190" s="37"/>
      <c r="V190" s="37"/>
      <c r="W190" s="37"/>
      <c r="X190" s="37"/>
      <c r="Y190" s="37"/>
      <c r="Z19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0" s="37"/>
      <c r="AB190" s="66" t="str">
        <f>IF(COUNTA(SalCommune[[#This Row],[Nom]:[heures annuelles
selon contrat(s)]])=0,"",SalCommune[[#This Row],[Total global]]-ABS(SalCommune[[#This Row],[Dont non opposable]]))</f>
        <v/>
      </c>
      <c r="AC190" s="8"/>
      <c r="AD190" s="63"/>
      <c r="AE190" s="430"/>
      <c r="AF190" s="430"/>
      <c r="AG190" s="430"/>
      <c r="AH190" s="181"/>
      <c r="AI190" s="194">
        <f>IF(COUNTA(SalCommune[[#This Row],[N°]:[heures annuelles
selon contrat(s)]])=0,"",REVEX!$E$9)</f>
        <v>0</v>
      </c>
      <c r="AJ190" s="72" t="str">
        <f>IF(SalCommune[[#This Row],[Allocations fonctions]]="","",IF(ISNA(VLOOKUP(SalCommune[[#This Row],[Allocations fonctions]],DROPDOWN[Dropdown82],1,FALSE))=TRUE,"&lt;-- Veuillez choisir l'allocation parmis la liste déroulante.",""))</f>
        <v/>
      </c>
    </row>
    <row r="191" spans="1:36" x14ac:dyDescent="0.25">
      <c r="A191" s="72" t="str">
        <f>IF(SalCommune[[#This Row],[Statut]]="","",IF(ISNA(VLOOKUP(SalCommune[[#This Row],[Statut]],'Grille communale'!$B$3:$B$5,1,FALSE))=TRUE,"Veuillez choisir le statut parmis la liste déroulante",""))</f>
        <v/>
      </c>
      <c r="B191" s="725" t="str">
        <f>IF(SalCommune[[#This Row],[Matricule]]="","",MAX($B$7:B190)+1)</f>
        <v/>
      </c>
      <c r="C191" s="8"/>
      <c r="D191" s="8"/>
      <c r="E191" s="20"/>
      <c r="F191" s="8"/>
      <c r="G191" s="8"/>
      <c r="H191" s="9"/>
      <c r="I191" s="9"/>
      <c r="J191" s="9"/>
      <c r="K191" s="10"/>
      <c r="L191" s="10"/>
      <c r="M191" s="9"/>
      <c r="N191" s="9"/>
      <c r="O191" s="9"/>
      <c r="P19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1" s="9"/>
      <c r="R191" s="9"/>
      <c r="S191" s="9"/>
      <c r="T191" s="37"/>
      <c r="U191" s="37"/>
      <c r="V191" s="37"/>
      <c r="W191" s="37"/>
      <c r="X191" s="37"/>
      <c r="Y191" s="37"/>
      <c r="Z19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1" s="37"/>
      <c r="AB191" s="66" t="str">
        <f>IF(COUNTA(SalCommune[[#This Row],[Nom]:[heures annuelles
selon contrat(s)]])=0,"",SalCommune[[#This Row],[Total global]]-ABS(SalCommune[[#This Row],[Dont non opposable]]))</f>
        <v/>
      </c>
      <c r="AC191" s="8"/>
      <c r="AD191" s="63"/>
      <c r="AE191" s="430"/>
      <c r="AF191" s="430"/>
      <c r="AG191" s="430"/>
      <c r="AH191" s="181"/>
      <c r="AI191" s="194">
        <f>IF(COUNTA(SalCommune[[#This Row],[N°]:[heures annuelles
selon contrat(s)]])=0,"",REVEX!$E$9)</f>
        <v>0</v>
      </c>
      <c r="AJ191" s="72" t="str">
        <f>IF(SalCommune[[#This Row],[Allocations fonctions]]="","",IF(ISNA(VLOOKUP(SalCommune[[#This Row],[Allocations fonctions]],DROPDOWN[Dropdown82],1,FALSE))=TRUE,"&lt;-- Veuillez choisir l'allocation parmis la liste déroulante.",""))</f>
        <v/>
      </c>
    </row>
    <row r="192" spans="1:36" x14ac:dyDescent="0.25">
      <c r="A192" s="72" t="str">
        <f>IF(SalCommune[[#This Row],[Statut]]="","",IF(ISNA(VLOOKUP(SalCommune[[#This Row],[Statut]],'Grille communale'!$B$3:$B$5,1,FALSE))=TRUE,"Veuillez choisir le statut parmis la liste déroulante",""))</f>
        <v/>
      </c>
      <c r="B192" s="725" t="str">
        <f>IF(SalCommune[[#This Row],[Matricule]]="","",MAX($B$7:B191)+1)</f>
        <v/>
      </c>
      <c r="C192" s="8"/>
      <c r="D192" s="8"/>
      <c r="E192" s="20"/>
      <c r="F192" s="8"/>
      <c r="G192" s="8"/>
      <c r="H192" s="9"/>
      <c r="I192" s="9"/>
      <c r="J192" s="9"/>
      <c r="K192" s="10"/>
      <c r="L192" s="10"/>
      <c r="M192" s="9"/>
      <c r="N192" s="9"/>
      <c r="O192" s="9"/>
      <c r="P19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2" s="9"/>
      <c r="R192" s="9"/>
      <c r="S192" s="9"/>
      <c r="T192" s="37"/>
      <c r="U192" s="37"/>
      <c r="V192" s="37"/>
      <c r="W192" s="37"/>
      <c r="X192" s="37"/>
      <c r="Y192" s="37"/>
      <c r="Z19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2" s="37"/>
      <c r="AB192" s="66" t="str">
        <f>IF(COUNTA(SalCommune[[#This Row],[Nom]:[heures annuelles
selon contrat(s)]])=0,"",SalCommune[[#This Row],[Total global]]-ABS(SalCommune[[#This Row],[Dont non opposable]]))</f>
        <v/>
      </c>
      <c r="AC192" s="8"/>
      <c r="AD192" s="63"/>
      <c r="AE192" s="430"/>
      <c r="AF192" s="430"/>
      <c r="AG192" s="430"/>
      <c r="AH192" s="181"/>
      <c r="AI192" s="194">
        <f>IF(COUNTA(SalCommune[[#This Row],[N°]:[heures annuelles
selon contrat(s)]])=0,"",REVEX!$E$9)</f>
        <v>0</v>
      </c>
      <c r="AJ192" s="72" t="str">
        <f>IF(SalCommune[[#This Row],[Allocations fonctions]]="","",IF(ISNA(VLOOKUP(SalCommune[[#This Row],[Allocations fonctions]],DROPDOWN[Dropdown82],1,FALSE))=TRUE,"&lt;-- Veuillez choisir l'allocation parmis la liste déroulante.",""))</f>
        <v/>
      </c>
    </row>
    <row r="193" spans="1:36" x14ac:dyDescent="0.25">
      <c r="A193" s="72" t="str">
        <f>IF(SalCommune[[#This Row],[Statut]]="","",IF(ISNA(VLOOKUP(SalCommune[[#This Row],[Statut]],'Grille communale'!$B$3:$B$5,1,FALSE))=TRUE,"Veuillez choisir le statut parmis la liste déroulante",""))</f>
        <v/>
      </c>
      <c r="B193" s="725" t="str">
        <f>IF(SalCommune[[#This Row],[Matricule]]="","",MAX($B$7:B192)+1)</f>
        <v/>
      </c>
      <c r="C193" s="8"/>
      <c r="D193" s="8"/>
      <c r="E193" s="20"/>
      <c r="F193" s="8"/>
      <c r="G193" s="8"/>
      <c r="H193" s="9"/>
      <c r="I193" s="9"/>
      <c r="J193" s="9"/>
      <c r="K193" s="10"/>
      <c r="L193" s="10"/>
      <c r="M193" s="9"/>
      <c r="N193" s="9"/>
      <c r="O193" s="9"/>
      <c r="P19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3" s="9"/>
      <c r="R193" s="9"/>
      <c r="S193" s="9"/>
      <c r="T193" s="37"/>
      <c r="U193" s="37"/>
      <c r="V193" s="37"/>
      <c r="W193" s="37"/>
      <c r="X193" s="37"/>
      <c r="Y193" s="37"/>
      <c r="Z19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3" s="37"/>
      <c r="AB193" s="66" t="str">
        <f>IF(COUNTA(SalCommune[[#This Row],[Nom]:[heures annuelles
selon contrat(s)]])=0,"",SalCommune[[#This Row],[Total global]]-ABS(SalCommune[[#This Row],[Dont non opposable]]))</f>
        <v/>
      </c>
      <c r="AC193" s="8"/>
      <c r="AD193" s="63"/>
      <c r="AE193" s="430"/>
      <c r="AF193" s="430"/>
      <c r="AG193" s="430"/>
      <c r="AH193" s="181"/>
      <c r="AI193" s="194">
        <f>IF(COUNTA(SalCommune[[#This Row],[N°]:[heures annuelles
selon contrat(s)]])=0,"",REVEX!$E$9)</f>
        <v>0</v>
      </c>
      <c r="AJ193" s="72" t="str">
        <f>IF(SalCommune[[#This Row],[Allocations fonctions]]="","",IF(ISNA(VLOOKUP(SalCommune[[#This Row],[Allocations fonctions]],DROPDOWN[Dropdown82],1,FALSE))=TRUE,"&lt;-- Veuillez choisir l'allocation parmis la liste déroulante.",""))</f>
        <v/>
      </c>
    </row>
    <row r="194" spans="1:36" x14ac:dyDescent="0.25">
      <c r="A194" s="72" t="str">
        <f>IF(SalCommune[[#This Row],[Statut]]="","",IF(ISNA(VLOOKUP(SalCommune[[#This Row],[Statut]],'Grille communale'!$B$3:$B$5,1,FALSE))=TRUE,"Veuillez choisir le statut parmis la liste déroulante",""))</f>
        <v/>
      </c>
      <c r="B194" s="725" t="str">
        <f>IF(SalCommune[[#This Row],[Matricule]]="","",MAX($B$7:B193)+1)</f>
        <v/>
      </c>
      <c r="C194" s="8"/>
      <c r="D194" s="8"/>
      <c r="E194" s="20"/>
      <c r="F194" s="8"/>
      <c r="G194" s="8"/>
      <c r="H194" s="9"/>
      <c r="I194" s="9"/>
      <c r="J194" s="9"/>
      <c r="K194" s="10"/>
      <c r="L194" s="10"/>
      <c r="M194" s="9"/>
      <c r="N194" s="9"/>
      <c r="O194" s="9"/>
      <c r="P19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4" s="9"/>
      <c r="R194" s="9"/>
      <c r="S194" s="9"/>
      <c r="T194" s="37"/>
      <c r="U194" s="37"/>
      <c r="V194" s="37"/>
      <c r="W194" s="37"/>
      <c r="X194" s="37"/>
      <c r="Y194" s="37"/>
      <c r="Z19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4" s="37"/>
      <c r="AB194" s="66" t="str">
        <f>IF(COUNTA(SalCommune[[#This Row],[Nom]:[heures annuelles
selon contrat(s)]])=0,"",SalCommune[[#This Row],[Total global]]-ABS(SalCommune[[#This Row],[Dont non opposable]]))</f>
        <v/>
      </c>
      <c r="AC194" s="8"/>
      <c r="AD194" s="63"/>
      <c r="AE194" s="430"/>
      <c r="AF194" s="430"/>
      <c r="AG194" s="430"/>
      <c r="AH194" s="181"/>
      <c r="AI194" s="194">
        <f>IF(COUNTA(SalCommune[[#This Row],[N°]:[heures annuelles
selon contrat(s)]])=0,"",REVEX!$E$9)</f>
        <v>0</v>
      </c>
      <c r="AJ194" s="72" t="str">
        <f>IF(SalCommune[[#This Row],[Allocations fonctions]]="","",IF(ISNA(VLOOKUP(SalCommune[[#This Row],[Allocations fonctions]],DROPDOWN[Dropdown82],1,FALSE))=TRUE,"&lt;-- Veuillez choisir l'allocation parmis la liste déroulante.",""))</f>
        <v/>
      </c>
    </row>
    <row r="195" spans="1:36" x14ac:dyDescent="0.25">
      <c r="A195" s="72" t="str">
        <f>IF(SalCommune[[#This Row],[Statut]]="","",IF(ISNA(VLOOKUP(SalCommune[[#This Row],[Statut]],'Grille communale'!$B$3:$B$5,1,FALSE))=TRUE,"Veuillez choisir le statut parmis la liste déroulante",""))</f>
        <v/>
      </c>
      <c r="B195" s="725" t="str">
        <f>IF(SalCommune[[#This Row],[Matricule]]="","",MAX($B$7:B194)+1)</f>
        <v/>
      </c>
      <c r="C195" s="8"/>
      <c r="D195" s="8"/>
      <c r="E195" s="20"/>
      <c r="F195" s="8"/>
      <c r="G195" s="8"/>
      <c r="H195" s="9"/>
      <c r="I195" s="9"/>
      <c r="J195" s="9"/>
      <c r="K195" s="10"/>
      <c r="L195" s="10"/>
      <c r="M195" s="9"/>
      <c r="N195" s="9"/>
      <c r="O195" s="9"/>
      <c r="P19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5" s="9"/>
      <c r="R195" s="9"/>
      <c r="S195" s="9"/>
      <c r="T195" s="37"/>
      <c r="U195" s="37"/>
      <c r="V195" s="37"/>
      <c r="W195" s="37"/>
      <c r="X195" s="37"/>
      <c r="Y195" s="37"/>
      <c r="Z19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5" s="37"/>
      <c r="AB195" s="66" t="str">
        <f>IF(COUNTA(SalCommune[[#This Row],[Nom]:[heures annuelles
selon contrat(s)]])=0,"",SalCommune[[#This Row],[Total global]]-ABS(SalCommune[[#This Row],[Dont non opposable]]))</f>
        <v/>
      </c>
      <c r="AC195" s="8"/>
      <c r="AD195" s="63"/>
      <c r="AE195" s="430"/>
      <c r="AF195" s="430"/>
      <c r="AG195" s="430"/>
      <c r="AH195" s="181"/>
      <c r="AI195" s="194">
        <f>IF(COUNTA(SalCommune[[#This Row],[N°]:[heures annuelles
selon contrat(s)]])=0,"",REVEX!$E$9)</f>
        <v>0</v>
      </c>
      <c r="AJ195" s="72" t="str">
        <f>IF(SalCommune[[#This Row],[Allocations fonctions]]="","",IF(ISNA(VLOOKUP(SalCommune[[#This Row],[Allocations fonctions]],DROPDOWN[Dropdown82],1,FALSE))=TRUE,"&lt;-- Veuillez choisir l'allocation parmis la liste déroulante.",""))</f>
        <v/>
      </c>
    </row>
    <row r="196" spans="1:36" x14ac:dyDescent="0.25">
      <c r="A196" s="72" t="str">
        <f>IF(SalCommune[[#This Row],[Statut]]="","",IF(ISNA(VLOOKUP(SalCommune[[#This Row],[Statut]],'Grille communale'!$B$3:$B$5,1,FALSE))=TRUE,"Veuillez choisir le statut parmis la liste déroulante",""))</f>
        <v/>
      </c>
      <c r="B196" s="725" t="str">
        <f>IF(SalCommune[[#This Row],[Matricule]]="","",MAX($B$7:B195)+1)</f>
        <v/>
      </c>
      <c r="C196" s="8"/>
      <c r="D196" s="8"/>
      <c r="E196" s="20"/>
      <c r="F196" s="8"/>
      <c r="G196" s="8"/>
      <c r="H196" s="9"/>
      <c r="I196" s="9"/>
      <c r="J196" s="9"/>
      <c r="K196" s="10"/>
      <c r="L196" s="10"/>
      <c r="M196" s="9"/>
      <c r="N196" s="9"/>
      <c r="O196" s="9"/>
      <c r="P19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6" s="9"/>
      <c r="R196" s="9"/>
      <c r="S196" s="9"/>
      <c r="T196" s="37"/>
      <c r="U196" s="37"/>
      <c r="V196" s="37"/>
      <c r="W196" s="37"/>
      <c r="X196" s="37"/>
      <c r="Y196" s="37"/>
      <c r="Z19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6" s="37"/>
      <c r="AB196" s="66" t="str">
        <f>IF(COUNTA(SalCommune[[#This Row],[Nom]:[heures annuelles
selon contrat(s)]])=0,"",SalCommune[[#This Row],[Total global]]-ABS(SalCommune[[#This Row],[Dont non opposable]]))</f>
        <v/>
      </c>
      <c r="AC196" s="8"/>
      <c r="AD196" s="63"/>
      <c r="AE196" s="430"/>
      <c r="AF196" s="430"/>
      <c r="AG196" s="430"/>
      <c r="AH196" s="181"/>
      <c r="AI196" s="194">
        <f>IF(COUNTA(SalCommune[[#This Row],[N°]:[heures annuelles
selon contrat(s)]])=0,"",REVEX!$E$9)</f>
        <v>0</v>
      </c>
      <c r="AJ196" s="72" t="str">
        <f>IF(SalCommune[[#This Row],[Allocations fonctions]]="","",IF(ISNA(VLOOKUP(SalCommune[[#This Row],[Allocations fonctions]],DROPDOWN[Dropdown82],1,FALSE))=TRUE,"&lt;-- Veuillez choisir l'allocation parmis la liste déroulante.",""))</f>
        <v/>
      </c>
    </row>
    <row r="197" spans="1:36" x14ac:dyDescent="0.25">
      <c r="A197" s="72" t="str">
        <f>IF(SalCommune[[#This Row],[Statut]]="","",IF(ISNA(VLOOKUP(SalCommune[[#This Row],[Statut]],'Grille communale'!$B$3:$B$5,1,FALSE))=TRUE,"Veuillez choisir le statut parmis la liste déroulante",""))</f>
        <v/>
      </c>
      <c r="B197" s="725" t="str">
        <f>IF(SalCommune[[#This Row],[Matricule]]="","",MAX($B$7:B196)+1)</f>
        <v/>
      </c>
      <c r="C197" s="8"/>
      <c r="D197" s="8"/>
      <c r="E197" s="20"/>
      <c r="F197" s="8"/>
      <c r="G197" s="8"/>
      <c r="H197" s="9"/>
      <c r="I197" s="9"/>
      <c r="J197" s="9"/>
      <c r="K197" s="10"/>
      <c r="L197" s="10"/>
      <c r="M197" s="9"/>
      <c r="N197" s="9"/>
      <c r="O197" s="9"/>
      <c r="P19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7" s="9"/>
      <c r="R197" s="9"/>
      <c r="S197" s="9"/>
      <c r="T197" s="37"/>
      <c r="U197" s="37"/>
      <c r="V197" s="37"/>
      <c r="W197" s="37"/>
      <c r="X197" s="37"/>
      <c r="Y197" s="37"/>
      <c r="Z19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7" s="37"/>
      <c r="AB197" s="66" t="str">
        <f>IF(COUNTA(SalCommune[[#This Row],[Nom]:[heures annuelles
selon contrat(s)]])=0,"",SalCommune[[#This Row],[Total global]]-ABS(SalCommune[[#This Row],[Dont non opposable]]))</f>
        <v/>
      </c>
      <c r="AC197" s="8"/>
      <c r="AD197" s="63"/>
      <c r="AE197" s="430"/>
      <c r="AF197" s="430"/>
      <c r="AG197" s="430"/>
      <c r="AH197" s="181"/>
      <c r="AI197" s="194">
        <f>IF(COUNTA(SalCommune[[#This Row],[N°]:[heures annuelles
selon contrat(s)]])=0,"",REVEX!$E$9)</f>
        <v>0</v>
      </c>
      <c r="AJ197" s="72" t="str">
        <f>IF(SalCommune[[#This Row],[Allocations fonctions]]="","",IF(ISNA(VLOOKUP(SalCommune[[#This Row],[Allocations fonctions]],DROPDOWN[Dropdown82],1,FALSE))=TRUE,"&lt;-- Veuillez choisir l'allocation parmis la liste déroulante.",""))</f>
        <v/>
      </c>
    </row>
    <row r="198" spans="1:36" x14ac:dyDescent="0.25">
      <c r="A198" s="72" t="str">
        <f>IF(SalCommune[[#This Row],[Statut]]="","",IF(ISNA(VLOOKUP(SalCommune[[#This Row],[Statut]],'Grille communale'!$B$3:$B$5,1,FALSE))=TRUE,"Veuillez choisir le statut parmis la liste déroulante",""))</f>
        <v/>
      </c>
      <c r="B198" s="725" t="str">
        <f>IF(SalCommune[[#This Row],[Matricule]]="","",MAX($B$7:B197)+1)</f>
        <v/>
      </c>
      <c r="C198" s="8"/>
      <c r="D198" s="8"/>
      <c r="E198" s="20"/>
      <c r="F198" s="8"/>
      <c r="G198" s="8"/>
      <c r="H198" s="9"/>
      <c r="I198" s="9"/>
      <c r="J198" s="9"/>
      <c r="K198" s="10"/>
      <c r="L198" s="10"/>
      <c r="M198" s="9"/>
      <c r="N198" s="9"/>
      <c r="O198" s="9"/>
      <c r="P19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8" s="9"/>
      <c r="R198" s="9"/>
      <c r="S198" s="9"/>
      <c r="T198" s="37"/>
      <c r="U198" s="37"/>
      <c r="V198" s="37"/>
      <c r="W198" s="37"/>
      <c r="X198" s="37"/>
      <c r="Y198" s="37"/>
      <c r="Z19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8" s="37"/>
      <c r="AB198" s="66" t="str">
        <f>IF(COUNTA(SalCommune[[#This Row],[Nom]:[heures annuelles
selon contrat(s)]])=0,"",SalCommune[[#This Row],[Total global]]-ABS(SalCommune[[#This Row],[Dont non opposable]]))</f>
        <v/>
      </c>
      <c r="AC198" s="8"/>
      <c r="AD198" s="63"/>
      <c r="AE198" s="430"/>
      <c r="AF198" s="430"/>
      <c r="AG198" s="430"/>
      <c r="AH198" s="181"/>
      <c r="AI198" s="194">
        <f>IF(COUNTA(SalCommune[[#This Row],[N°]:[heures annuelles
selon contrat(s)]])=0,"",REVEX!$E$9)</f>
        <v>0</v>
      </c>
      <c r="AJ198" s="72" t="str">
        <f>IF(SalCommune[[#This Row],[Allocations fonctions]]="","",IF(ISNA(VLOOKUP(SalCommune[[#This Row],[Allocations fonctions]],DROPDOWN[Dropdown82],1,FALSE))=TRUE,"&lt;-- Veuillez choisir l'allocation parmis la liste déroulante.",""))</f>
        <v/>
      </c>
    </row>
    <row r="199" spans="1:36" x14ac:dyDescent="0.25">
      <c r="A199" s="72" t="str">
        <f>IF(SalCommune[[#This Row],[Statut]]="","",IF(ISNA(VLOOKUP(SalCommune[[#This Row],[Statut]],'Grille communale'!$B$3:$B$5,1,FALSE))=TRUE,"Veuillez choisir le statut parmis la liste déroulante",""))</f>
        <v/>
      </c>
      <c r="B199" s="725" t="str">
        <f>IF(SalCommune[[#This Row],[Matricule]]="","",MAX($B$7:B198)+1)</f>
        <v/>
      </c>
      <c r="C199" s="8"/>
      <c r="D199" s="8"/>
      <c r="E199" s="20"/>
      <c r="F199" s="8"/>
      <c r="G199" s="8"/>
      <c r="H199" s="9"/>
      <c r="I199" s="9"/>
      <c r="J199" s="9"/>
      <c r="K199" s="10"/>
      <c r="L199" s="10"/>
      <c r="M199" s="9"/>
      <c r="N199" s="9"/>
      <c r="O199" s="9"/>
      <c r="P19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199" s="9"/>
      <c r="R199" s="9"/>
      <c r="S199" s="9"/>
      <c r="T199" s="37"/>
      <c r="U199" s="37"/>
      <c r="V199" s="37"/>
      <c r="W199" s="37"/>
      <c r="X199" s="37"/>
      <c r="Y199" s="37"/>
      <c r="Z19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199" s="37"/>
      <c r="AB199" s="66" t="str">
        <f>IF(COUNTA(SalCommune[[#This Row],[Nom]:[heures annuelles
selon contrat(s)]])=0,"",SalCommune[[#This Row],[Total global]]-ABS(SalCommune[[#This Row],[Dont non opposable]]))</f>
        <v/>
      </c>
      <c r="AC199" s="8"/>
      <c r="AD199" s="63"/>
      <c r="AE199" s="430"/>
      <c r="AF199" s="430"/>
      <c r="AG199" s="430"/>
      <c r="AH199" s="181"/>
      <c r="AI199" s="194">
        <f>IF(COUNTA(SalCommune[[#This Row],[N°]:[heures annuelles
selon contrat(s)]])=0,"",REVEX!$E$9)</f>
        <v>0</v>
      </c>
      <c r="AJ199" s="72" t="str">
        <f>IF(SalCommune[[#This Row],[Allocations fonctions]]="","",IF(ISNA(VLOOKUP(SalCommune[[#This Row],[Allocations fonctions]],DROPDOWN[Dropdown82],1,FALSE))=TRUE,"&lt;-- Veuillez choisir l'allocation parmis la liste déroulante.",""))</f>
        <v/>
      </c>
    </row>
    <row r="200" spans="1:36" x14ac:dyDescent="0.25">
      <c r="A200" s="72" t="str">
        <f>IF(SalCommune[[#This Row],[Statut]]="","",IF(ISNA(VLOOKUP(SalCommune[[#This Row],[Statut]],'Grille communale'!$B$3:$B$5,1,FALSE))=TRUE,"Veuillez choisir le statut parmis la liste déroulante",""))</f>
        <v/>
      </c>
      <c r="B200" s="725" t="str">
        <f>IF(SalCommune[[#This Row],[Matricule]]="","",MAX($B$7:B199)+1)</f>
        <v/>
      </c>
      <c r="C200" s="8"/>
      <c r="D200" s="8"/>
      <c r="E200" s="20"/>
      <c r="F200" s="8"/>
      <c r="G200" s="8"/>
      <c r="H200" s="9"/>
      <c r="I200" s="9"/>
      <c r="J200" s="9"/>
      <c r="K200" s="10"/>
      <c r="L200" s="10"/>
      <c r="M200" s="9"/>
      <c r="N200" s="9"/>
      <c r="O200" s="9"/>
      <c r="P20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0" s="9"/>
      <c r="R200" s="9"/>
      <c r="S200" s="9"/>
      <c r="T200" s="37"/>
      <c r="U200" s="37"/>
      <c r="V200" s="37"/>
      <c r="W200" s="37"/>
      <c r="X200" s="37"/>
      <c r="Y200" s="37"/>
      <c r="Z20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0" s="37"/>
      <c r="AB200" s="66" t="str">
        <f>IF(COUNTA(SalCommune[[#This Row],[Nom]:[heures annuelles
selon contrat(s)]])=0,"",SalCommune[[#This Row],[Total global]]-ABS(SalCommune[[#This Row],[Dont non opposable]]))</f>
        <v/>
      </c>
      <c r="AC200" s="8"/>
      <c r="AD200" s="63"/>
      <c r="AE200" s="430"/>
      <c r="AF200" s="430"/>
      <c r="AG200" s="430"/>
      <c r="AH200" s="181"/>
      <c r="AI200" s="194">
        <f>IF(COUNTA(SalCommune[[#This Row],[N°]:[heures annuelles
selon contrat(s)]])=0,"",REVEX!$E$9)</f>
        <v>0</v>
      </c>
      <c r="AJ200" s="72" t="str">
        <f>IF(SalCommune[[#This Row],[Allocations fonctions]]="","",IF(ISNA(VLOOKUP(SalCommune[[#This Row],[Allocations fonctions]],DROPDOWN[Dropdown82],1,FALSE))=TRUE,"&lt;-- Veuillez choisir l'allocation parmis la liste déroulante.",""))</f>
        <v/>
      </c>
    </row>
    <row r="201" spans="1:36" x14ac:dyDescent="0.25">
      <c r="A201" s="72" t="str">
        <f>IF(SalCommune[[#This Row],[Statut]]="","",IF(ISNA(VLOOKUP(SalCommune[[#This Row],[Statut]],'Grille communale'!$B$3:$B$5,1,FALSE))=TRUE,"Veuillez choisir le statut parmis la liste déroulante",""))</f>
        <v/>
      </c>
      <c r="B201" s="725" t="str">
        <f>IF(SalCommune[[#This Row],[Matricule]]="","",MAX($B$7:B200)+1)</f>
        <v/>
      </c>
      <c r="C201" s="8"/>
      <c r="D201" s="8"/>
      <c r="E201" s="20"/>
      <c r="F201" s="8"/>
      <c r="G201" s="8"/>
      <c r="H201" s="9"/>
      <c r="I201" s="9"/>
      <c r="J201" s="9"/>
      <c r="K201" s="10"/>
      <c r="L201" s="10"/>
      <c r="M201" s="9"/>
      <c r="N201" s="9"/>
      <c r="O201" s="9"/>
      <c r="P20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1" s="9"/>
      <c r="R201" s="9"/>
      <c r="S201" s="9"/>
      <c r="T201" s="37"/>
      <c r="U201" s="37"/>
      <c r="V201" s="37"/>
      <c r="W201" s="37"/>
      <c r="X201" s="37"/>
      <c r="Y201" s="37"/>
      <c r="Z20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1" s="37"/>
      <c r="AB201" s="66" t="str">
        <f>IF(COUNTA(SalCommune[[#This Row],[Nom]:[heures annuelles
selon contrat(s)]])=0,"",SalCommune[[#This Row],[Total global]]-ABS(SalCommune[[#This Row],[Dont non opposable]]))</f>
        <v/>
      </c>
      <c r="AC201" s="8"/>
      <c r="AD201" s="63"/>
      <c r="AE201" s="430"/>
      <c r="AF201" s="430"/>
      <c r="AG201" s="430"/>
      <c r="AH201" s="181"/>
      <c r="AI201" s="194">
        <f>IF(COUNTA(SalCommune[[#This Row],[N°]:[heures annuelles
selon contrat(s)]])=0,"",REVEX!$E$9)</f>
        <v>0</v>
      </c>
      <c r="AJ201" s="72" t="str">
        <f>IF(SalCommune[[#This Row],[Allocations fonctions]]="","",IF(ISNA(VLOOKUP(SalCommune[[#This Row],[Allocations fonctions]],DROPDOWN[Dropdown82],1,FALSE))=TRUE,"&lt;-- Veuillez choisir l'allocation parmis la liste déroulante.",""))</f>
        <v/>
      </c>
    </row>
    <row r="202" spans="1:36" x14ac:dyDescent="0.25">
      <c r="A202" s="72" t="str">
        <f>IF(SalCommune[[#This Row],[Statut]]="","",IF(ISNA(VLOOKUP(SalCommune[[#This Row],[Statut]],'Grille communale'!$B$3:$B$5,1,FALSE))=TRUE,"Veuillez choisir le statut parmis la liste déroulante",""))</f>
        <v/>
      </c>
      <c r="B202" s="725" t="str">
        <f>IF(SalCommune[[#This Row],[Matricule]]="","",MAX($B$7:B201)+1)</f>
        <v/>
      </c>
      <c r="C202" s="8"/>
      <c r="D202" s="8"/>
      <c r="E202" s="20"/>
      <c r="F202" s="8"/>
      <c r="G202" s="8"/>
      <c r="H202" s="9"/>
      <c r="I202" s="9"/>
      <c r="J202" s="9"/>
      <c r="K202" s="10"/>
      <c r="L202" s="10"/>
      <c r="M202" s="9"/>
      <c r="N202" s="9"/>
      <c r="O202" s="9"/>
      <c r="P20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2" s="9"/>
      <c r="R202" s="9"/>
      <c r="S202" s="9"/>
      <c r="T202" s="37"/>
      <c r="U202" s="37"/>
      <c r="V202" s="37"/>
      <c r="W202" s="37"/>
      <c r="X202" s="37"/>
      <c r="Y202" s="37"/>
      <c r="Z20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2" s="37"/>
      <c r="AB202" s="66" t="str">
        <f>IF(COUNTA(SalCommune[[#This Row],[Nom]:[heures annuelles
selon contrat(s)]])=0,"",SalCommune[[#This Row],[Total global]]-ABS(SalCommune[[#This Row],[Dont non opposable]]))</f>
        <v/>
      </c>
      <c r="AC202" s="8"/>
      <c r="AD202" s="63"/>
      <c r="AE202" s="430"/>
      <c r="AF202" s="430"/>
      <c r="AG202" s="430"/>
      <c r="AH202" s="181"/>
      <c r="AI202" s="194">
        <f>IF(COUNTA(SalCommune[[#This Row],[N°]:[heures annuelles
selon contrat(s)]])=0,"",REVEX!$E$9)</f>
        <v>0</v>
      </c>
      <c r="AJ202" s="72" t="str">
        <f>IF(SalCommune[[#This Row],[Allocations fonctions]]="","",IF(ISNA(VLOOKUP(SalCommune[[#This Row],[Allocations fonctions]],DROPDOWN[Dropdown82],1,FALSE))=TRUE,"&lt;-- Veuillez choisir l'allocation parmis la liste déroulante.",""))</f>
        <v/>
      </c>
    </row>
    <row r="203" spans="1:36" x14ac:dyDescent="0.25">
      <c r="A203" s="72" t="str">
        <f>IF(SalCommune[[#This Row],[Statut]]="","",IF(ISNA(VLOOKUP(SalCommune[[#This Row],[Statut]],'Grille communale'!$B$3:$B$5,1,FALSE))=TRUE,"Veuillez choisir le statut parmis la liste déroulante",""))</f>
        <v/>
      </c>
      <c r="B203" s="725" t="str">
        <f>IF(SalCommune[[#This Row],[Matricule]]="","",MAX($B$7:B202)+1)</f>
        <v/>
      </c>
      <c r="C203" s="8"/>
      <c r="D203" s="8"/>
      <c r="E203" s="20"/>
      <c r="F203" s="8"/>
      <c r="G203" s="8"/>
      <c r="H203" s="9"/>
      <c r="I203" s="9"/>
      <c r="J203" s="9"/>
      <c r="K203" s="10"/>
      <c r="L203" s="10"/>
      <c r="M203" s="9"/>
      <c r="N203" s="9"/>
      <c r="O203" s="9"/>
      <c r="P20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3" s="9"/>
      <c r="R203" s="9"/>
      <c r="S203" s="9"/>
      <c r="T203" s="37"/>
      <c r="U203" s="37"/>
      <c r="V203" s="37"/>
      <c r="W203" s="37"/>
      <c r="X203" s="37"/>
      <c r="Y203" s="37"/>
      <c r="Z20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3" s="37"/>
      <c r="AB203" s="66" t="str">
        <f>IF(COUNTA(SalCommune[[#This Row],[Nom]:[heures annuelles
selon contrat(s)]])=0,"",SalCommune[[#This Row],[Total global]]-ABS(SalCommune[[#This Row],[Dont non opposable]]))</f>
        <v/>
      </c>
      <c r="AC203" s="8"/>
      <c r="AD203" s="63"/>
      <c r="AE203" s="430"/>
      <c r="AF203" s="430"/>
      <c r="AG203" s="430"/>
      <c r="AH203" s="181"/>
      <c r="AI203" s="194">
        <f>IF(COUNTA(SalCommune[[#This Row],[N°]:[heures annuelles
selon contrat(s)]])=0,"",REVEX!$E$9)</f>
        <v>0</v>
      </c>
      <c r="AJ203" s="72" t="str">
        <f>IF(SalCommune[[#This Row],[Allocations fonctions]]="","",IF(ISNA(VLOOKUP(SalCommune[[#This Row],[Allocations fonctions]],DROPDOWN[Dropdown82],1,FALSE))=TRUE,"&lt;-- Veuillez choisir l'allocation parmis la liste déroulante.",""))</f>
        <v/>
      </c>
    </row>
    <row r="204" spans="1:36" x14ac:dyDescent="0.25">
      <c r="A204" s="72" t="str">
        <f>IF(SalCommune[[#This Row],[Statut]]="","",IF(ISNA(VLOOKUP(SalCommune[[#This Row],[Statut]],'Grille communale'!$B$3:$B$5,1,FALSE))=TRUE,"Veuillez choisir le statut parmis la liste déroulante",""))</f>
        <v/>
      </c>
      <c r="B204" s="725" t="str">
        <f>IF(SalCommune[[#This Row],[Matricule]]="","",MAX($B$7:B203)+1)</f>
        <v/>
      </c>
      <c r="C204" s="8"/>
      <c r="D204" s="8"/>
      <c r="E204" s="20"/>
      <c r="F204" s="8"/>
      <c r="G204" s="8"/>
      <c r="H204" s="9"/>
      <c r="I204" s="9"/>
      <c r="J204" s="9"/>
      <c r="K204" s="10"/>
      <c r="L204" s="10"/>
      <c r="M204" s="9"/>
      <c r="N204" s="9"/>
      <c r="O204" s="9"/>
      <c r="P20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4" s="9"/>
      <c r="R204" s="9"/>
      <c r="S204" s="9"/>
      <c r="T204" s="37"/>
      <c r="U204" s="37"/>
      <c r="V204" s="37"/>
      <c r="W204" s="37"/>
      <c r="X204" s="37"/>
      <c r="Y204" s="37"/>
      <c r="Z20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4" s="37"/>
      <c r="AB204" s="66" t="str">
        <f>IF(COUNTA(SalCommune[[#This Row],[Nom]:[heures annuelles
selon contrat(s)]])=0,"",SalCommune[[#This Row],[Total global]]-ABS(SalCommune[[#This Row],[Dont non opposable]]))</f>
        <v/>
      </c>
      <c r="AC204" s="8"/>
      <c r="AD204" s="63"/>
      <c r="AE204" s="430"/>
      <c r="AF204" s="430"/>
      <c r="AG204" s="430"/>
      <c r="AH204" s="181"/>
      <c r="AI204" s="194">
        <f>IF(COUNTA(SalCommune[[#This Row],[N°]:[heures annuelles
selon contrat(s)]])=0,"",REVEX!$E$9)</f>
        <v>0</v>
      </c>
      <c r="AJ204" s="72" t="str">
        <f>IF(SalCommune[[#This Row],[Allocations fonctions]]="","",IF(ISNA(VLOOKUP(SalCommune[[#This Row],[Allocations fonctions]],DROPDOWN[Dropdown82],1,FALSE))=TRUE,"&lt;-- Veuillez choisir l'allocation parmis la liste déroulante.",""))</f>
        <v/>
      </c>
    </row>
    <row r="205" spans="1:36" x14ac:dyDescent="0.25">
      <c r="A205" s="72" t="str">
        <f>IF(SalCommune[[#This Row],[Statut]]="","",IF(ISNA(VLOOKUP(SalCommune[[#This Row],[Statut]],'Grille communale'!$B$3:$B$5,1,FALSE))=TRUE,"Veuillez choisir le statut parmis la liste déroulante",""))</f>
        <v/>
      </c>
      <c r="B205" s="725" t="str">
        <f>IF(SalCommune[[#This Row],[Matricule]]="","",MAX($B$7:B204)+1)</f>
        <v/>
      </c>
      <c r="C205" s="8"/>
      <c r="D205" s="8"/>
      <c r="E205" s="20"/>
      <c r="F205" s="8"/>
      <c r="G205" s="8"/>
      <c r="H205" s="9"/>
      <c r="I205" s="9"/>
      <c r="J205" s="9"/>
      <c r="K205" s="10"/>
      <c r="L205" s="10"/>
      <c r="M205" s="9"/>
      <c r="N205" s="9"/>
      <c r="O205" s="9"/>
      <c r="P20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5" s="9"/>
      <c r="R205" s="9"/>
      <c r="S205" s="9"/>
      <c r="T205" s="37"/>
      <c r="U205" s="37"/>
      <c r="V205" s="37"/>
      <c r="W205" s="37"/>
      <c r="X205" s="37"/>
      <c r="Y205" s="37"/>
      <c r="Z20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5" s="37"/>
      <c r="AB205" s="66" t="str">
        <f>IF(COUNTA(SalCommune[[#This Row],[Nom]:[heures annuelles
selon contrat(s)]])=0,"",SalCommune[[#This Row],[Total global]]-ABS(SalCommune[[#This Row],[Dont non opposable]]))</f>
        <v/>
      </c>
      <c r="AC205" s="8"/>
      <c r="AD205" s="63"/>
      <c r="AE205" s="430"/>
      <c r="AF205" s="430"/>
      <c r="AG205" s="430"/>
      <c r="AH205" s="181"/>
      <c r="AI205" s="194">
        <f>IF(COUNTA(SalCommune[[#This Row],[N°]:[heures annuelles
selon contrat(s)]])=0,"",REVEX!$E$9)</f>
        <v>0</v>
      </c>
      <c r="AJ205" s="72" t="str">
        <f>IF(SalCommune[[#This Row],[Allocations fonctions]]="","",IF(ISNA(VLOOKUP(SalCommune[[#This Row],[Allocations fonctions]],DROPDOWN[Dropdown82],1,FALSE))=TRUE,"&lt;-- Veuillez choisir l'allocation parmis la liste déroulante.",""))</f>
        <v/>
      </c>
    </row>
    <row r="206" spans="1:36" x14ac:dyDescent="0.25">
      <c r="A206" s="72" t="str">
        <f>IF(SalCommune[[#This Row],[Statut]]="","",IF(ISNA(VLOOKUP(SalCommune[[#This Row],[Statut]],'Grille communale'!$B$3:$B$5,1,FALSE))=TRUE,"Veuillez choisir le statut parmis la liste déroulante",""))</f>
        <v/>
      </c>
      <c r="B206" s="725" t="str">
        <f>IF(SalCommune[[#This Row],[Matricule]]="","",MAX($B$7:B205)+1)</f>
        <v/>
      </c>
      <c r="C206" s="8"/>
      <c r="D206" s="8"/>
      <c r="E206" s="20"/>
      <c r="F206" s="8"/>
      <c r="G206" s="8"/>
      <c r="H206" s="9"/>
      <c r="I206" s="9"/>
      <c r="J206" s="9"/>
      <c r="K206" s="10"/>
      <c r="L206" s="10"/>
      <c r="M206" s="9"/>
      <c r="N206" s="9"/>
      <c r="O206" s="9"/>
      <c r="P20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6" s="9"/>
      <c r="R206" s="9"/>
      <c r="S206" s="9"/>
      <c r="T206" s="37"/>
      <c r="U206" s="37"/>
      <c r="V206" s="37"/>
      <c r="W206" s="37"/>
      <c r="X206" s="37"/>
      <c r="Y206" s="37"/>
      <c r="Z20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6" s="37"/>
      <c r="AB206" s="66" t="str">
        <f>IF(COUNTA(SalCommune[[#This Row],[Nom]:[heures annuelles
selon contrat(s)]])=0,"",SalCommune[[#This Row],[Total global]]-ABS(SalCommune[[#This Row],[Dont non opposable]]))</f>
        <v/>
      </c>
      <c r="AC206" s="8"/>
      <c r="AD206" s="63"/>
      <c r="AE206" s="430"/>
      <c r="AF206" s="430"/>
      <c r="AG206" s="430"/>
      <c r="AH206" s="181"/>
      <c r="AI206" s="194">
        <f>IF(COUNTA(SalCommune[[#This Row],[N°]:[heures annuelles
selon contrat(s)]])=0,"",REVEX!$E$9)</f>
        <v>0</v>
      </c>
      <c r="AJ206" s="72" t="str">
        <f>IF(SalCommune[[#This Row],[Allocations fonctions]]="","",IF(ISNA(VLOOKUP(SalCommune[[#This Row],[Allocations fonctions]],DROPDOWN[Dropdown82],1,FALSE))=TRUE,"&lt;-- Veuillez choisir l'allocation parmis la liste déroulante.",""))</f>
        <v/>
      </c>
    </row>
    <row r="207" spans="1:36" x14ac:dyDescent="0.25">
      <c r="A207" s="72" t="str">
        <f>IF(SalCommune[[#This Row],[Statut]]="","",IF(ISNA(VLOOKUP(SalCommune[[#This Row],[Statut]],'Grille communale'!$B$3:$B$5,1,FALSE))=TRUE,"Veuillez choisir le statut parmis la liste déroulante",""))</f>
        <v/>
      </c>
      <c r="B207" s="725" t="str">
        <f>IF(SalCommune[[#This Row],[Matricule]]="","",MAX($B$7:B206)+1)</f>
        <v/>
      </c>
      <c r="C207" s="8"/>
      <c r="D207" s="8"/>
      <c r="E207" s="20"/>
      <c r="F207" s="8"/>
      <c r="G207" s="8"/>
      <c r="H207" s="9"/>
      <c r="I207" s="9"/>
      <c r="J207" s="9"/>
      <c r="K207" s="10"/>
      <c r="L207" s="10"/>
      <c r="M207" s="9"/>
      <c r="N207" s="9"/>
      <c r="O207" s="9"/>
      <c r="P20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7" s="9"/>
      <c r="R207" s="9"/>
      <c r="S207" s="9"/>
      <c r="T207" s="37"/>
      <c r="U207" s="37"/>
      <c r="V207" s="37"/>
      <c r="W207" s="37"/>
      <c r="X207" s="37"/>
      <c r="Y207" s="37"/>
      <c r="Z20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7" s="37"/>
      <c r="AB207" s="66" t="str">
        <f>IF(COUNTA(SalCommune[[#This Row],[Nom]:[heures annuelles
selon contrat(s)]])=0,"",SalCommune[[#This Row],[Total global]]-ABS(SalCommune[[#This Row],[Dont non opposable]]))</f>
        <v/>
      </c>
      <c r="AC207" s="8"/>
      <c r="AD207" s="63"/>
      <c r="AE207" s="430"/>
      <c r="AF207" s="430"/>
      <c r="AG207" s="430"/>
      <c r="AH207" s="181"/>
      <c r="AI207" s="194">
        <f>IF(COUNTA(SalCommune[[#This Row],[N°]:[heures annuelles
selon contrat(s)]])=0,"",REVEX!$E$9)</f>
        <v>0</v>
      </c>
      <c r="AJ207" s="72" t="str">
        <f>IF(SalCommune[[#This Row],[Allocations fonctions]]="","",IF(ISNA(VLOOKUP(SalCommune[[#This Row],[Allocations fonctions]],DROPDOWN[Dropdown82],1,FALSE))=TRUE,"&lt;-- Veuillez choisir l'allocation parmis la liste déroulante.",""))</f>
        <v/>
      </c>
    </row>
    <row r="208" spans="1:36" x14ac:dyDescent="0.25">
      <c r="A208" s="72" t="str">
        <f>IF(SalCommune[[#This Row],[Statut]]="","",IF(ISNA(VLOOKUP(SalCommune[[#This Row],[Statut]],'Grille communale'!$B$3:$B$5,1,FALSE))=TRUE,"Veuillez choisir le statut parmis la liste déroulante",""))</f>
        <v/>
      </c>
      <c r="B208" s="725" t="str">
        <f>IF(SalCommune[[#This Row],[Matricule]]="","",MAX($B$7:B207)+1)</f>
        <v/>
      </c>
      <c r="C208" s="8"/>
      <c r="D208" s="8"/>
      <c r="E208" s="20"/>
      <c r="F208" s="8"/>
      <c r="G208" s="8"/>
      <c r="H208" s="9"/>
      <c r="I208" s="9"/>
      <c r="J208" s="9"/>
      <c r="K208" s="10"/>
      <c r="L208" s="10"/>
      <c r="M208" s="9"/>
      <c r="N208" s="9"/>
      <c r="O208" s="9"/>
      <c r="P20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8" s="9"/>
      <c r="R208" s="9"/>
      <c r="S208" s="9"/>
      <c r="T208" s="37"/>
      <c r="U208" s="37"/>
      <c r="V208" s="37"/>
      <c r="W208" s="37"/>
      <c r="X208" s="37"/>
      <c r="Y208" s="37"/>
      <c r="Z20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8" s="37"/>
      <c r="AB208" s="66" t="str">
        <f>IF(COUNTA(SalCommune[[#This Row],[Nom]:[heures annuelles
selon contrat(s)]])=0,"",SalCommune[[#This Row],[Total global]]-ABS(SalCommune[[#This Row],[Dont non opposable]]))</f>
        <v/>
      </c>
      <c r="AC208" s="8"/>
      <c r="AD208" s="63"/>
      <c r="AE208" s="430"/>
      <c r="AF208" s="430"/>
      <c r="AG208" s="430"/>
      <c r="AH208" s="181"/>
      <c r="AI208" s="194">
        <f>IF(COUNTA(SalCommune[[#This Row],[N°]:[heures annuelles
selon contrat(s)]])=0,"",REVEX!$E$9)</f>
        <v>0</v>
      </c>
      <c r="AJ208" s="72" t="str">
        <f>IF(SalCommune[[#This Row],[Allocations fonctions]]="","",IF(ISNA(VLOOKUP(SalCommune[[#This Row],[Allocations fonctions]],DROPDOWN[Dropdown82],1,FALSE))=TRUE,"&lt;-- Veuillez choisir l'allocation parmis la liste déroulante.",""))</f>
        <v/>
      </c>
    </row>
    <row r="209" spans="1:36" x14ac:dyDescent="0.25">
      <c r="A209" s="72" t="str">
        <f>IF(SalCommune[[#This Row],[Statut]]="","",IF(ISNA(VLOOKUP(SalCommune[[#This Row],[Statut]],'Grille communale'!$B$3:$B$5,1,FALSE))=TRUE,"Veuillez choisir le statut parmis la liste déroulante",""))</f>
        <v/>
      </c>
      <c r="B209" s="725" t="str">
        <f>IF(SalCommune[[#This Row],[Matricule]]="","",MAX($B$7:B208)+1)</f>
        <v/>
      </c>
      <c r="C209" s="8"/>
      <c r="D209" s="8"/>
      <c r="E209" s="20"/>
      <c r="F209" s="8"/>
      <c r="G209" s="8"/>
      <c r="H209" s="9"/>
      <c r="I209" s="9"/>
      <c r="J209" s="9"/>
      <c r="K209" s="10"/>
      <c r="L209" s="10"/>
      <c r="M209" s="9"/>
      <c r="N209" s="9"/>
      <c r="O209" s="9"/>
      <c r="P20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09" s="9"/>
      <c r="R209" s="9"/>
      <c r="S209" s="9"/>
      <c r="T209" s="37"/>
      <c r="U209" s="37"/>
      <c r="V209" s="37"/>
      <c r="W209" s="37"/>
      <c r="X209" s="37"/>
      <c r="Y209" s="37"/>
      <c r="Z20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09" s="37"/>
      <c r="AB209" s="66" t="str">
        <f>IF(COUNTA(SalCommune[[#This Row],[Nom]:[heures annuelles
selon contrat(s)]])=0,"",SalCommune[[#This Row],[Total global]]-ABS(SalCommune[[#This Row],[Dont non opposable]]))</f>
        <v/>
      </c>
      <c r="AC209" s="8"/>
      <c r="AD209" s="63"/>
      <c r="AE209" s="430"/>
      <c r="AF209" s="430"/>
      <c r="AG209" s="430"/>
      <c r="AH209" s="181"/>
      <c r="AI209" s="194">
        <f>IF(COUNTA(SalCommune[[#This Row],[N°]:[heures annuelles
selon contrat(s)]])=0,"",REVEX!$E$9)</f>
        <v>0</v>
      </c>
      <c r="AJ209" s="72" t="str">
        <f>IF(SalCommune[[#This Row],[Allocations fonctions]]="","",IF(ISNA(VLOOKUP(SalCommune[[#This Row],[Allocations fonctions]],DROPDOWN[Dropdown82],1,FALSE))=TRUE,"&lt;-- Veuillez choisir l'allocation parmis la liste déroulante.",""))</f>
        <v/>
      </c>
    </row>
    <row r="210" spans="1:36" x14ac:dyDescent="0.25">
      <c r="A210" s="72" t="str">
        <f>IF(SalCommune[[#This Row],[Statut]]="","",IF(ISNA(VLOOKUP(SalCommune[[#This Row],[Statut]],'Grille communale'!$B$3:$B$5,1,FALSE))=TRUE,"Veuillez choisir le statut parmis la liste déroulante",""))</f>
        <v/>
      </c>
      <c r="B210" s="725" t="str">
        <f>IF(SalCommune[[#This Row],[Matricule]]="","",MAX($B$7:B209)+1)</f>
        <v/>
      </c>
      <c r="C210" s="8"/>
      <c r="D210" s="8"/>
      <c r="E210" s="20"/>
      <c r="F210" s="8"/>
      <c r="G210" s="8"/>
      <c r="H210" s="9"/>
      <c r="I210" s="9"/>
      <c r="J210" s="9"/>
      <c r="K210" s="10"/>
      <c r="L210" s="10"/>
      <c r="M210" s="9"/>
      <c r="N210" s="9"/>
      <c r="O210" s="9"/>
      <c r="P21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0" s="9"/>
      <c r="R210" s="9"/>
      <c r="S210" s="9"/>
      <c r="T210" s="37"/>
      <c r="U210" s="37"/>
      <c r="V210" s="37"/>
      <c r="W210" s="37"/>
      <c r="X210" s="37"/>
      <c r="Y210" s="37"/>
      <c r="Z21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0" s="37"/>
      <c r="AB210" s="66" t="str">
        <f>IF(COUNTA(SalCommune[[#This Row],[Nom]:[heures annuelles
selon contrat(s)]])=0,"",SalCommune[[#This Row],[Total global]]-ABS(SalCommune[[#This Row],[Dont non opposable]]))</f>
        <v/>
      </c>
      <c r="AC210" s="8"/>
      <c r="AD210" s="63"/>
      <c r="AE210" s="430"/>
      <c r="AF210" s="430"/>
      <c r="AG210" s="430"/>
      <c r="AH210" s="181"/>
      <c r="AI210" s="194">
        <f>IF(COUNTA(SalCommune[[#This Row],[N°]:[heures annuelles
selon contrat(s)]])=0,"",REVEX!$E$9)</f>
        <v>0</v>
      </c>
      <c r="AJ210" s="72" t="str">
        <f>IF(SalCommune[[#This Row],[Allocations fonctions]]="","",IF(ISNA(VLOOKUP(SalCommune[[#This Row],[Allocations fonctions]],DROPDOWN[Dropdown82],1,FALSE))=TRUE,"&lt;-- Veuillez choisir l'allocation parmis la liste déroulante.",""))</f>
        <v/>
      </c>
    </row>
    <row r="211" spans="1:36" x14ac:dyDescent="0.25">
      <c r="A211" s="72" t="str">
        <f>IF(SalCommune[[#This Row],[Statut]]="","",IF(ISNA(VLOOKUP(SalCommune[[#This Row],[Statut]],'Grille communale'!$B$3:$B$5,1,FALSE))=TRUE,"Veuillez choisir le statut parmis la liste déroulante",""))</f>
        <v/>
      </c>
      <c r="B211" s="725" t="str">
        <f>IF(SalCommune[[#This Row],[Matricule]]="","",MAX($B$7:B210)+1)</f>
        <v/>
      </c>
      <c r="C211" s="8"/>
      <c r="D211" s="8"/>
      <c r="E211" s="20"/>
      <c r="F211" s="8"/>
      <c r="G211" s="8"/>
      <c r="H211" s="9"/>
      <c r="I211" s="9"/>
      <c r="J211" s="9"/>
      <c r="K211" s="10"/>
      <c r="L211" s="10"/>
      <c r="M211" s="9"/>
      <c r="N211" s="9"/>
      <c r="O211" s="9"/>
      <c r="P21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1" s="9"/>
      <c r="R211" s="9"/>
      <c r="S211" s="9"/>
      <c r="T211" s="37"/>
      <c r="U211" s="37"/>
      <c r="V211" s="37"/>
      <c r="W211" s="37"/>
      <c r="X211" s="37"/>
      <c r="Y211" s="37"/>
      <c r="Z21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1" s="37"/>
      <c r="AB211" s="66" t="str">
        <f>IF(COUNTA(SalCommune[[#This Row],[Nom]:[heures annuelles
selon contrat(s)]])=0,"",SalCommune[[#This Row],[Total global]]-ABS(SalCommune[[#This Row],[Dont non opposable]]))</f>
        <v/>
      </c>
      <c r="AC211" s="8"/>
      <c r="AD211" s="63"/>
      <c r="AE211" s="430"/>
      <c r="AF211" s="430"/>
      <c r="AG211" s="430"/>
      <c r="AH211" s="181"/>
      <c r="AI211" s="194">
        <f>IF(COUNTA(SalCommune[[#This Row],[N°]:[heures annuelles
selon contrat(s)]])=0,"",REVEX!$E$9)</f>
        <v>0</v>
      </c>
      <c r="AJ211" s="72" t="str">
        <f>IF(SalCommune[[#This Row],[Allocations fonctions]]="","",IF(ISNA(VLOOKUP(SalCommune[[#This Row],[Allocations fonctions]],DROPDOWN[Dropdown82],1,FALSE))=TRUE,"&lt;-- Veuillez choisir l'allocation parmis la liste déroulante.",""))</f>
        <v/>
      </c>
    </row>
    <row r="212" spans="1:36" x14ac:dyDescent="0.25">
      <c r="A212" s="72" t="str">
        <f>IF(SalCommune[[#This Row],[Statut]]="","",IF(ISNA(VLOOKUP(SalCommune[[#This Row],[Statut]],'Grille communale'!$B$3:$B$5,1,FALSE))=TRUE,"Veuillez choisir le statut parmis la liste déroulante",""))</f>
        <v/>
      </c>
      <c r="B212" s="725" t="str">
        <f>IF(SalCommune[[#This Row],[Matricule]]="","",MAX($B$7:B211)+1)</f>
        <v/>
      </c>
      <c r="C212" s="8"/>
      <c r="D212" s="8"/>
      <c r="E212" s="20"/>
      <c r="F212" s="8"/>
      <c r="G212" s="8"/>
      <c r="H212" s="9"/>
      <c r="I212" s="9"/>
      <c r="J212" s="9"/>
      <c r="K212" s="10"/>
      <c r="L212" s="10"/>
      <c r="M212" s="9"/>
      <c r="N212" s="9"/>
      <c r="O212" s="9"/>
      <c r="P21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2" s="9"/>
      <c r="R212" s="9"/>
      <c r="S212" s="9"/>
      <c r="T212" s="37"/>
      <c r="U212" s="37"/>
      <c r="V212" s="37"/>
      <c r="W212" s="37"/>
      <c r="X212" s="37"/>
      <c r="Y212" s="37"/>
      <c r="Z21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2" s="37"/>
      <c r="AB212" s="66" t="str">
        <f>IF(COUNTA(SalCommune[[#This Row],[Nom]:[heures annuelles
selon contrat(s)]])=0,"",SalCommune[[#This Row],[Total global]]-ABS(SalCommune[[#This Row],[Dont non opposable]]))</f>
        <v/>
      </c>
      <c r="AC212" s="8"/>
      <c r="AD212" s="63"/>
      <c r="AE212" s="430"/>
      <c r="AF212" s="430"/>
      <c r="AG212" s="430"/>
      <c r="AH212" s="181"/>
      <c r="AI212" s="194">
        <f>IF(COUNTA(SalCommune[[#This Row],[N°]:[heures annuelles
selon contrat(s)]])=0,"",REVEX!$E$9)</f>
        <v>0</v>
      </c>
      <c r="AJ212" s="72" t="str">
        <f>IF(SalCommune[[#This Row],[Allocations fonctions]]="","",IF(ISNA(VLOOKUP(SalCommune[[#This Row],[Allocations fonctions]],DROPDOWN[Dropdown82],1,FALSE))=TRUE,"&lt;-- Veuillez choisir l'allocation parmis la liste déroulante.",""))</f>
        <v/>
      </c>
    </row>
    <row r="213" spans="1:36" x14ac:dyDescent="0.25">
      <c r="A213" s="72" t="str">
        <f>IF(SalCommune[[#This Row],[Statut]]="","",IF(ISNA(VLOOKUP(SalCommune[[#This Row],[Statut]],'Grille communale'!$B$3:$B$5,1,FALSE))=TRUE,"Veuillez choisir le statut parmis la liste déroulante",""))</f>
        <v/>
      </c>
      <c r="B213" s="725" t="str">
        <f>IF(SalCommune[[#This Row],[Matricule]]="","",MAX($B$7:B212)+1)</f>
        <v/>
      </c>
      <c r="C213" s="8"/>
      <c r="D213" s="8"/>
      <c r="E213" s="20"/>
      <c r="F213" s="8"/>
      <c r="G213" s="8"/>
      <c r="H213" s="9"/>
      <c r="I213" s="9"/>
      <c r="J213" s="9"/>
      <c r="K213" s="10"/>
      <c r="L213" s="10"/>
      <c r="M213" s="9"/>
      <c r="N213" s="9"/>
      <c r="O213" s="9"/>
      <c r="P21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3" s="9"/>
      <c r="R213" s="9"/>
      <c r="S213" s="9"/>
      <c r="T213" s="37"/>
      <c r="U213" s="37"/>
      <c r="V213" s="37"/>
      <c r="W213" s="37"/>
      <c r="X213" s="37"/>
      <c r="Y213" s="37"/>
      <c r="Z21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3" s="37"/>
      <c r="AB213" s="66" t="str">
        <f>IF(COUNTA(SalCommune[[#This Row],[Nom]:[heures annuelles
selon contrat(s)]])=0,"",SalCommune[[#This Row],[Total global]]-ABS(SalCommune[[#This Row],[Dont non opposable]]))</f>
        <v/>
      </c>
      <c r="AC213" s="8"/>
      <c r="AD213" s="63"/>
      <c r="AE213" s="430"/>
      <c r="AF213" s="430"/>
      <c r="AG213" s="430"/>
      <c r="AH213" s="181"/>
      <c r="AI213" s="194">
        <f>IF(COUNTA(SalCommune[[#This Row],[N°]:[heures annuelles
selon contrat(s)]])=0,"",REVEX!$E$9)</f>
        <v>0</v>
      </c>
      <c r="AJ213" s="72" t="str">
        <f>IF(SalCommune[[#This Row],[Allocations fonctions]]="","",IF(ISNA(VLOOKUP(SalCommune[[#This Row],[Allocations fonctions]],DROPDOWN[Dropdown82],1,FALSE))=TRUE,"&lt;-- Veuillez choisir l'allocation parmis la liste déroulante.",""))</f>
        <v/>
      </c>
    </row>
    <row r="214" spans="1:36" x14ac:dyDescent="0.25">
      <c r="A214" s="72" t="str">
        <f>IF(SalCommune[[#This Row],[Statut]]="","",IF(ISNA(VLOOKUP(SalCommune[[#This Row],[Statut]],'Grille communale'!$B$3:$B$5,1,FALSE))=TRUE,"Veuillez choisir le statut parmis la liste déroulante",""))</f>
        <v/>
      </c>
      <c r="B214" s="725" t="str">
        <f>IF(SalCommune[[#This Row],[Matricule]]="","",MAX($B$7:B213)+1)</f>
        <v/>
      </c>
      <c r="C214" s="8"/>
      <c r="D214" s="8"/>
      <c r="E214" s="20"/>
      <c r="F214" s="8"/>
      <c r="G214" s="8"/>
      <c r="H214" s="9"/>
      <c r="I214" s="9"/>
      <c r="J214" s="9"/>
      <c r="K214" s="10"/>
      <c r="L214" s="10"/>
      <c r="M214" s="9"/>
      <c r="N214" s="9"/>
      <c r="O214" s="9"/>
      <c r="P21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4" s="9"/>
      <c r="R214" s="9"/>
      <c r="S214" s="9"/>
      <c r="T214" s="37"/>
      <c r="U214" s="37"/>
      <c r="V214" s="37"/>
      <c r="W214" s="37"/>
      <c r="X214" s="37"/>
      <c r="Y214" s="37"/>
      <c r="Z21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4" s="37"/>
      <c r="AB214" s="66" t="str">
        <f>IF(COUNTA(SalCommune[[#This Row],[Nom]:[heures annuelles
selon contrat(s)]])=0,"",SalCommune[[#This Row],[Total global]]-ABS(SalCommune[[#This Row],[Dont non opposable]]))</f>
        <v/>
      </c>
      <c r="AC214" s="8"/>
      <c r="AD214" s="63"/>
      <c r="AE214" s="430"/>
      <c r="AF214" s="430"/>
      <c r="AG214" s="430"/>
      <c r="AH214" s="181"/>
      <c r="AI214" s="194">
        <f>IF(COUNTA(SalCommune[[#This Row],[N°]:[heures annuelles
selon contrat(s)]])=0,"",REVEX!$E$9)</f>
        <v>0</v>
      </c>
      <c r="AJ214" s="72" t="str">
        <f>IF(SalCommune[[#This Row],[Allocations fonctions]]="","",IF(ISNA(VLOOKUP(SalCommune[[#This Row],[Allocations fonctions]],DROPDOWN[Dropdown82],1,FALSE))=TRUE,"&lt;-- Veuillez choisir l'allocation parmis la liste déroulante.",""))</f>
        <v/>
      </c>
    </row>
    <row r="215" spans="1:36" x14ac:dyDescent="0.25">
      <c r="A215" s="72" t="str">
        <f>IF(SalCommune[[#This Row],[Statut]]="","",IF(ISNA(VLOOKUP(SalCommune[[#This Row],[Statut]],'Grille communale'!$B$3:$B$5,1,FALSE))=TRUE,"Veuillez choisir le statut parmis la liste déroulante",""))</f>
        <v/>
      </c>
      <c r="B215" s="725" t="str">
        <f>IF(SalCommune[[#This Row],[Matricule]]="","",MAX($B$7:B214)+1)</f>
        <v/>
      </c>
      <c r="C215" s="8"/>
      <c r="D215" s="8"/>
      <c r="E215" s="20"/>
      <c r="F215" s="8"/>
      <c r="G215" s="8"/>
      <c r="H215" s="9"/>
      <c r="I215" s="9"/>
      <c r="J215" s="9"/>
      <c r="K215" s="10"/>
      <c r="L215" s="10"/>
      <c r="M215" s="9"/>
      <c r="N215" s="9"/>
      <c r="O215" s="9"/>
      <c r="P21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5" s="9"/>
      <c r="R215" s="9"/>
      <c r="S215" s="9"/>
      <c r="T215" s="37"/>
      <c r="U215" s="37"/>
      <c r="V215" s="37"/>
      <c r="W215" s="37"/>
      <c r="X215" s="37"/>
      <c r="Y215" s="37"/>
      <c r="Z21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5" s="37"/>
      <c r="AB215" s="66" t="str">
        <f>IF(COUNTA(SalCommune[[#This Row],[Nom]:[heures annuelles
selon contrat(s)]])=0,"",SalCommune[[#This Row],[Total global]]-ABS(SalCommune[[#This Row],[Dont non opposable]]))</f>
        <v/>
      </c>
      <c r="AC215" s="8"/>
      <c r="AD215" s="63"/>
      <c r="AE215" s="430"/>
      <c r="AF215" s="430"/>
      <c r="AG215" s="430"/>
      <c r="AH215" s="181"/>
      <c r="AI215" s="194">
        <f>IF(COUNTA(SalCommune[[#This Row],[N°]:[heures annuelles
selon contrat(s)]])=0,"",REVEX!$E$9)</f>
        <v>0</v>
      </c>
      <c r="AJ215" s="72" t="str">
        <f>IF(SalCommune[[#This Row],[Allocations fonctions]]="","",IF(ISNA(VLOOKUP(SalCommune[[#This Row],[Allocations fonctions]],DROPDOWN[Dropdown82],1,FALSE))=TRUE,"&lt;-- Veuillez choisir l'allocation parmis la liste déroulante.",""))</f>
        <v/>
      </c>
    </row>
    <row r="216" spans="1:36" x14ac:dyDescent="0.25">
      <c r="A216" s="72" t="str">
        <f>IF(SalCommune[[#This Row],[Statut]]="","",IF(ISNA(VLOOKUP(SalCommune[[#This Row],[Statut]],'Grille communale'!$B$3:$B$5,1,FALSE))=TRUE,"Veuillez choisir le statut parmis la liste déroulante",""))</f>
        <v/>
      </c>
      <c r="B216" s="725" t="str">
        <f>IF(SalCommune[[#This Row],[Matricule]]="","",MAX($B$7:B215)+1)</f>
        <v/>
      </c>
      <c r="C216" s="8"/>
      <c r="D216" s="8"/>
      <c r="E216" s="20"/>
      <c r="F216" s="8"/>
      <c r="G216" s="8"/>
      <c r="H216" s="9"/>
      <c r="I216" s="9"/>
      <c r="J216" s="9"/>
      <c r="K216" s="10"/>
      <c r="L216" s="10"/>
      <c r="M216" s="9"/>
      <c r="N216" s="9"/>
      <c r="O216" s="9"/>
      <c r="P21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6" s="9"/>
      <c r="R216" s="9"/>
      <c r="S216" s="9"/>
      <c r="T216" s="37"/>
      <c r="U216" s="37"/>
      <c r="V216" s="37"/>
      <c r="W216" s="37"/>
      <c r="X216" s="37"/>
      <c r="Y216" s="37"/>
      <c r="Z21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6" s="37"/>
      <c r="AB216" s="66" t="str">
        <f>IF(COUNTA(SalCommune[[#This Row],[Nom]:[heures annuelles
selon contrat(s)]])=0,"",SalCommune[[#This Row],[Total global]]-ABS(SalCommune[[#This Row],[Dont non opposable]]))</f>
        <v/>
      </c>
      <c r="AC216" s="8"/>
      <c r="AD216" s="63"/>
      <c r="AE216" s="430"/>
      <c r="AF216" s="430"/>
      <c r="AG216" s="430"/>
      <c r="AH216" s="181"/>
      <c r="AI216" s="194">
        <f>IF(COUNTA(SalCommune[[#This Row],[N°]:[heures annuelles
selon contrat(s)]])=0,"",REVEX!$E$9)</f>
        <v>0</v>
      </c>
      <c r="AJ216" s="72" t="str">
        <f>IF(SalCommune[[#This Row],[Allocations fonctions]]="","",IF(ISNA(VLOOKUP(SalCommune[[#This Row],[Allocations fonctions]],DROPDOWN[Dropdown82],1,FALSE))=TRUE,"&lt;-- Veuillez choisir l'allocation parmis la liste déroulante.",""))</f>
        <v/>
      </c>
    </row>
    <row r="217" spans="1:36" x14ac:dyDescent="0.25">
      <c r="A217" s="72" t="str">
        <f>IF(SalCommune[[#This Row],[Statut]]="","",IF(ISNA(VLOOKUP(SalCommune[[#This Row],[Statut]],'Grille communale'!$B$3:$B$5,1,FALSE))=TRUE,"Veuillez choisir le statut parmis la liste déroulante",""))</f>
        <v/>
      </c>
      <c r="B217" s="725" t="str">
        <f>IF(SalCommune[[#This Row],[Matricule]]="","",MAX($B$7:B216)+1)</f>
        <v/>
      </c>
      <c r="C217" s="8"/>
      <c r="D217" s="8"/>
      <c r="E217" s="20"/>
      <c r="F217" s="8"/>
      <c r="G217" s="8"/>
      <c r="H217" s="9"/>
      <c r="I217" s="9"/>
      <c r="J217" s="9"/>
      <c r="K217" s="10"/>
      <c r="L217" s="10"/>
      <c r="M217" s="9"/>
      <c r="N217" s="9"/>
      <c r="O217" s="9"/>
      <c r="P21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7" s="9"/>
      <c r="R217" s="9"/>
      <c r="S217" s="9"/>
      <c r="T217" s="37"/>
      <c r="U217" s="37"/>
      <c r="V217" s="37"/>
      <c r="W217" s="37"/>
      <c r="X217" s="37"/>
      <c r="Y217" s="37"/>
      <c r="Z21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7" s="37"/>
      <c r="AB217" s="66" t="str">
        <f>IF(COUNTA(SalCommune[[#This Row],[Nom]:[heures annuelles
selon contrat(s)]])=0,"",SalCommune[[#This Row],[Total global]]-ABS(SalCommune[[#This Row],[Dont non opposable]]))</f>
        <v/>
      </c>
      <c r="AC217" s="8"/>
      <c r="AD217" s="63"/>
      <c r="AE217" s="430"/>
      <c r="AF217" s="430"/>
      <c r="AG217" s="430"/>
      <c r="AH217" s="181"/>
      <c r="AI217" s="194">
        <f>IF(COUNTA(SalCommune[[#This Row],[N°]:[heures annuelles
selon contrat(s)]])=0,"",REVEX!$E$9)</f>
        <v>0</v>
      </c>
      <c r="AJ217" s="72" t="str">
        <f>IF(SalCommune[[#This Row],[Allocations fonctions]]="","",IF(ISNA(VLOOKUP(SalCommune[[#This Row],[Allocations fonctions]],DROPDOWN[Dropdown82],1,FALSE))=TRUE,"&lt;-- Veuillez choisir l'allocation parmis la liste déroulante.",""))</f>
        <v/>
      </c>
    </row>
    <row r="218" spans="1:36" x14ac:dyDescent="0.25">
      <c r="A218" s="72" t="str">
        <f>IF(SalCommune[[#This Row],[Statut]]="","",IF(ISNA(VLOOKUP(SalCommune[[#This Row],[Statut]],'Grille communale'!$B$3:$B$5,1,FALSE))=TRUE,"Veuillez choisir le statut parmis la liste déroulante",""))</f>
        <v/>
      </c>
      <c r="B218" s="725" t="str">
        <f>IF(SalCommune[[#This Row],[Matricule]]="","",MAX($B$7:B217)+1)</f>
        <v/>
      </c>
      <c r="C218" s="8"/>
      <c r="D218" s="8"/>
      <c r="E218" s="20"/>
      <c r="F218" s="8"/>
      <c r="G218" s="8"/>
      <c r="H218" s="9"/>
      <c r="I218" s="9"/>
      <c r="J218" s="9"/>
      <c r="K218" s="10"/>
      <c r="L218" s="10"/>
      <c r="M218" s="9"/>
      <c r="N218" s="9"/>
      <c r="O218" s="9"/>
      <c r="P21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8" s="9"/>
      <c r="R218" s="9"/>
      <c r="S218" s="9"/>
      <c r="T218" s="37"/>
      <c r="U218" s="37"/>
      <c r="V218" s="37"/>
      <c r="W218" s="37"/>
      <c r="X218" s="37"/>
      <c r="Y218" s="37"/>
      <c r="Z21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8" s="37"/>
      <c r="AB218" s="66" t="str">
        <f>IF(COUNTA(SalCommune[[#This Row],[Nom]:[heures annuelles
selon contrat(s)]])=0,"",SalCommune[[#This Row],[Total global]]-ABS(SalCommune[[#This Row],[Dont non opposable]]))</f>
        <v/>
      </c>
      <c r="AC218" s="8"/>
      <c r="AD218" s="63"/>
      <c r="AE218" s="430"/>
      <c r="AF218" s="430"/>
      <c r="AG218" s="430"/>
      <c r="AH218" s="181"/>
      <c r="AI218" s="194">
        <f>IF(COUNTA(SalCommune[[#This Row],[N°]:[heures annuelles
selon contrat(s)]])=0,"",REVEX!$E$9)</f>
        <v>0</v>
      </c>
      <c r="AJ218" s="72" t="str">
        <f>IF(SalCommune[[#This Row],[Allocations fonctions]]="","",IF(ISNA(VLOOKUP(SalCommune[[#This Row],[Allocations fonctions]],DROPDOWN[Dropdown82],1,FALSE))=TRUE,"&lt;-- Veuillez choisir l'allocation parmis la liste déroulante.",""))</f>
        <v/>
      </c>
    </row>
    <row r="219" spans="1:36" x14ac:dyDescent="0.25">
      <c r="A219" s="72" t="str">
        <f>IF(SalCommune[[#This Row],[Statut]]="","",IF(ISNA(VLOOKUP(SalCommune[[#This Row],[Statut]],'Grille communale'!$B$3:$B$5,1,FALSE))=TRUE,"Veuillez choisir le statut parmis la liste déroulante",""))</f>
        <v/>
      </c>
      <c r="B219" s="725" t="str">
        <f>IF(SalCommune[[#This Row],[Matricule]]="","",MAX($B$7:B218)+1)</f>
        <v/>
      </c>
      <c r="C219" s="8"/>
      <c r="D219" s="8"/>
      <c r="E219" s="20"/>
      <c r="F219" s="8"/>
      <c r="G219" s="8"/>
      <c r="H219" s="9"/>
      <c r="I219" s="9"/>
      <c r="J219" s="9"/>
      <c r="K219" s="10"/>
      <c r="L219" s="10"/>
      <c r="M219" s="9"/>
      <c r="N219" s="9"/>
      <c r="O219" s="9"/>
      <c r="P21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19" s="9"/>
      <c r="R219" s="9"/>
      <c r="S219" s="9"/>
      <c r="T219" s="37"/>
      <c r="U219" s="37"/>
      <c r="V219" s="37"/>
      <c r="W219" s="37"/>
      <c r="X219" s="37"/>
      <c r="Y219" s="37"/>
      <c r="Z21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19" s="37"/>
      <c r="AB219" s="66" t="str">
        <f>IF(COUNTA(SalCommune[[#This Row],[Nom]:[heures annuelles
selon contrat(s)]])=0,"",SalCommune[[#This Row],[Total global]]-ABS(SalCommune[[#This Row],[Dont non opposable]]))</f>
        <v/>
      </c>
      <c r="AC219" s="8"/>
      <c r="AD219" s="63"/>
      <c r="AE219" s="430"/>
      <c r="AF219" s="430"/>
      <c r="AG219" s="430"/>
      <c r="AH219" s="181"/>
      <c r="AI219" s="194">
        <f>IF(COUNTA(SalCommune[[#This Row],[N°]:[heures annuelles
selon contrat(s)]])=0,"",REVEX!$E$9)</f>
        <v>0</v>
      </c>
      <c r="AJ219" s="72" t="str">
        <f>IF(SalCommune[[#This Row],[Allocations fonctions]]="","",IF(ISNA(VLOOKUP(SalCommune[[#This Row],[Allocations fonctions]],DROPDOWN[Dropdown82],1,FALSE))=TRUE,"&lt;-- Veuillez choisir l'allocation parmis la liste déroulante.",""))</f>
        <v/>
      </c>
    </row>
    <row r="220" spans="1:36" x14ac:dyDescent="0.25">
      <c r="A220" s="72" t="str">
        <f>IF(SalCommune[[#This Row],[Statut]]="","",IF(ISNA(VLOOKUP(SalCommune[[#This Row],[Statut]],'Grille communale'!$B$3:$B$5,1,FALSE))=TRUE,"Veuillez choisir le statut parmis la liste déroulante",""))</f>
        <v/>
      </c>
      <c r="B220" s="725" t="str">
        <f>IF(SalCommune[[#This Row],[Matricule]]="","",MAX($B$7:B219)+1)</f>
        <v/>
      </c>
      <c r="C220" s="8"/>
      <c r="D220" s="8"/>
      <c r="E220" s="20"/>
      <c r="F220" s="8"/>
      <c r="G220" s="8"/>
      <c r="H220" s="9"/>
      <c r="I220" s="9"/>
      <c r="J220" s="9"/>
      <c r="K220" s="10"/>
      <c r="L220" s="10"/>
      <c r="M220" s="9"/>
      <c r="N220" s="9"/>
      <c r="O220" s="9"/>
      <c r="P22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0" s="9"/>
      <c r="R220" s="9"/>
      <c r="S220" s="9"/>
      <c r="T220" s="37"/>
      <c r="U220" s="37"/>
      <c r="V220" s="37"/>
      <c r="W220" s="37"/>
      <c r="X220" s="37"/>
      <c r="Y220" s="37"/>
      <c r="Z22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0" s="37"/>
      <c r="AB220" s="66" t="str">
        <f>IF(COUNTA(SalCommune[[#This Row],[Nom]:[heures annuelles
selon contrat(s)]])=0,"",SalCommune[[#This Row],[Total global]]-ABS(SalCommune[[#This Row],[Dont non opposable]]))</f>
        <v/>
      </c>
      <c r="AC220" s="8"/>
      <c r="AD220" s="63"/>
      <c r="AE220" s="430"/>
      <c r="AF220" s="430"/>
      <c r="AG220" s="430"/>
      <c r="AH220" s="181"/>
      <c r="AI220" s="194">
        <f>IF(COUNTA(SalCommune[[#This Row],[N°]:[heures annuelles
selon contrat(s)]])=0,"",REVEX!$E$9)</f>
        <v>0</v>
      </c>
      <c r="AJ220" s="72" t="str">
        <f>IF(SalCommune[[#This Row],[Allocations fonctions]]="","",IF(ISNA(VLOOKUP(SalCommune[[#This Row],[Allocations fonctions]],DROPDOWN[Dropdown82],1,FALSE))=TRUE,"&lt;-- Veuillez choisir l'allocation parmis la liste déroulante.",""))</f>
        <v/>
      </c>
    </row>
    <row r="221" spans="1:36" x14ac:dyDescent="0.25">
      <c r="A221" s="72" t="str">
        <f>IF(SalCommune[[#This Row],[Statut]]="","",IF(ISNA(VLOOKUP(SalCommune[[#This Row],[Statut]],'Grille communale'!$B$3:$B$5,1,FALSE))=TRUE,"Veuillez choisir le statut parmis la liste déroulante",""))</f>
        <v/>
      </c>
      <c r="B221" s="725" t="str">
        <f>IF(SalCommune[[#This Row],[Matricule]]="","",MAX($B$7:B220)+1)</f>
        <v/>
      </c>
      <c r="C221" s="8"/>
      <c r="D221" s="8"/>
      <c r="E221" s="20"/>
      <c r="F221" s="8"/>
      <c r="G221" s="8"/>
      <c r="H221" s="9"/>
      <c r="I221" s="9"/>
      <c r="J221" s="9"/>
      <c r="K221" s="10"/>
      <c r="L221" s="10"/>
      <c r="M221" s="9"/>
      <c r="N221" s="9"/>
      <c r="O221" s="9"/>
      <c r="P22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1" s="9"/>
      <c r="R221" s="9"/>
      <c r="S221" s="9"/>
      <c r="T221" s="37"/>
      <c r="U221" s="37"/>
      <c r="V221" s="37"/>
      <c r="W221" s="37"/>
      <c r="X221" s="37"/>
      <c r="Y221" s="37"/>
      <c r="Z22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1" s="37"/>
      <c r="AB221" s="66" t="str">
        <f>IF(COUNTA(SalCommune[[#This Row],[Nom]:[heures annuelles
selon contrat(s)]])=0,"",SalCommune[[#This Row],[Total global]]-ABS(SalCommune[[#This Row],[Dont non opposable]]))</f>
        <v/>
      </c>
      <c r="AC221" s="8"/>
      <c r="AD221" s="63"/>
      <c r="AE221" s="430"/>
      <c r="AF221" s="430"/>
      <c r="AG221" s="430"/>
      <c r="AH221" s="181"/>
      <c r="AI221" s="194">
        <f>IF(COUNTA(SalCommune[[#This Row],[N°]:[heures annuelles
selon contrat(s)]])=0,"",REVEX!$E$9)</f>
        <v>0</v>
      </c>
      <c r="AJ221" s="72" t="str">
        <f>IF(SalCommune[[#This Row],[Allocations fonctions]]="","",IF(ISNA(VLOOKUP(SalCommune[[#This Row],[Allocations fonctions]],DROPDOWN[Dropdown82],1,FALSE))=TRUE,"&lt;-- Veuillez choisir l'allocation parmis la liste déroulante.",""))</f>
        <v/>
      </c>
    </row>
    <row r="222" spans="1:36" x14ac:dyDescent="0.25">
      <c r="A222" s="72" t="str">
        <f>IF(SalCommune[[#This Row],[Statut]]="","",IF(ISNA(VLOOKUP(SalCommune[[#This Row],[Statut]],'Grille communale'!$B$3:$B$5,1,FALSE))=TRUE,"Veuillez choisir le statut parmis la liste déroulante",""))</f>
        <v/>
      </c>
      <c r="B222" s="725" t="str">
        <f>IF(SalCommune[[#This Row],[Matricule]]="","",MAX($B$7:B221)+1)</f>
        <v/>
      </c>
      <c r="C222" s="8"/>
      <c r="D222" s="8"/>
      <c r="E222" s="20"/>
      <c r="F222" s="8"/>
      <c r="G222" s="8"/>
      <c r="H222" s="9"/>
      <c r="I222" s="9"/>
      <c r="J222" s="9"/>
      <c r="K222" s="10"/>
      <c r="L222" s="10"/>
      <c r="M222" s="9"/>
      <c r="N222" s="9"/>
      <c r="O222" s="9"/>
      <c r="P22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2" s="9"/>
      <c r="R222" s="9"/>
      <c r="S222" s="9"/>
      <c r="T222" s="37"/>
      <c r="U222" s="37"/>
      <c r="V222" s="37"/>
      <c r="W222" s="37"/>
      <c r="X222" s="37"/>
      <c r="Y222" s="37"/>
      <c r="Z22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2" s="37"/>
      <c r="AB222" s="66" t="str">
        <f>IF(COUNTA(SalCommune[[#This Row],[Nom]:[heures annuelles
selon contrat(s)]])=0,"",SalCommune[[#This Row],[Total global]]-ABS(SalCommune[[#This Row],[Dont non opposable]]))</f>
        <v/>
      </c>
      <c r="AC222" s="8"/>
      <c r="AD222" s="63"/>
      <c r="AE222" s="430"/>
      <c r="AF222" s="430"/>
      <c r="AG222" s="430"/>
      <c r="AH222" s="181"/>
      <c r="AI222" s="194">
        <f>IF(COUNTA(SalCommune[[#This Row],[N°]:[heures annuelles
selon contrat(s)]])=0,"",REVEX!$E$9)</f>
        <v>0</v>
      </c>
      <c r="AJ222" s="72" t="str">
        <f>IF(SalCommune[[#This Row],[Allocations fonctions]]="","",IF(ISNA(VLOOKUP(SalCommune[[#This Row],[Allocations fonctions]],DROPDOWN[Dropdown82],1,FALSE))=TRUE,"&lt;-- Veuillez choisir l'allocation parmis la liste déroulante.",""))</f>
        <v/>
      </c>
    </row>
    <row r="223" spans="1:36" x14ac:dyDescent="0.25">
      <c r="A223" s="72" t="str">
        <f>IF(SalCommune[[#This Row],[Statut]]="","",IF(ISNA(VLOOKUP(SalCommune[[#This Row],[Statut]],'Grille communale'!$B$3:$B$5,1,FALSE))=TRUE,"Veuillez choisir le statut parmis la liste déroulante",""))</f>
        <v/>
      </c>
      <c r="B223" s="725" t="str">
        <f>IF(SalCommune[[#This Row],[Matricule]]="","",MAX($B$7:B222)+1)</f>
        <v/>
      </c>
      <c r="C223" s="8"/>
      <c r="D223" s="8"/>
      <c r="E223" s="20"/>
      <c r="F223" s="8"/>
      <c r="G223" s="8"/>
      <c r="H223" s="9"/>
      <c r="I223" s="9"/>
      <c r="J223" s="9"/>
      <c r="K223" s="10"/>
      <c r="L223" s="10"/>
      <c r="M223" s="9"/>
      <c r="N223" s="9"/>
      <c r="O223" s="9"/>
      <c r="P22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3" s="9"/>
      <c r="R223" s="9"/>
      <c r="S223" s="9"/>
      <c r="T223" s="37"/>
      <c r="U223" s="37"/>
      <c r="V223" s="37"/>
      <c r="W223" s="37"/>
      <c r="X223" s="37"/>
      <c r="Y223" s="37"/>
      <c r="Z22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3" s="37"/>
      <c r="AB223" s="66" t="str">
        <f>IF(COUNTA(SalCommune[[#This Row],[Nom]:[heures annuelles
selon contrat(s)]])=0,"",SalCommune[[#This Row],[Total global]]-ABS(SalCommune[[#This Row],[Dont non opposable]]))</f>
        <v/>
      </c>
      <c r="AC223" s="8"/>
      <c r="AD223" s="63"/>
      <c r="AE223" s="430"/>
      <c r="AF223" s="430"/>
      <c r="AG223" s="430"/>
      <c r="AH223" s="181"/>
      <c r="AI223" s="194">
        <f>IF(COUNTA(SalCommune[[#This Row],[N°]:[heures annuelles
selon contrat(s)]])=0,"",REVEX!$E$9)</f>
        <v>0</v>
      </c>
      <c r="AJ223" s="72" t="str">
        <f>IF(SalCommune[[#This Row],[Allocations fonctions]]="","",IF(ISNA(VLOOKUP(SalCommune[[#This Row],[Allocations fonctions]],DROPDOWN[Dropdown82],1,FALSE))=TRUE,"&lt;-- Veuillez choisir l'allocation parmis la liste déroulante.",""))</f>
        <v/>
      </c>
    </row>
    <row r="224" spans="1:36" x14ac:dyDescent="0.25">
      <c r="A224" s="72" t="str">
        <f>IF(SalCommune[[#This Row],[Statut]]="","",IF(ISNA(VLOOKUP(SalCommune[[#This Row],[Statut]],'Grille communale'!$B$3:$B$5,1,FALSE))=TRUE,"Veuillez choisir le statut parmis la liste déroulante",""))</f>
        <v/>
      </c>
      <c r="B224" s="725" t="str">
        <f>IF(SalCommune[[#This Row],[Matricule]]="","",MAX($B$7:B223)+1)</f>
        <v/>
      </c>
      <c r="C224" s="8"/>
      <c r="D224" s="8"/>
      <c r="E224" s="20"/>
      <c r="F224" s="8"/>
      <c r="G224" s="8"/>
      <c r="H224" s="9"/>
      <c r="I224" s="9"/>
      <c r="J224" s="9"/>
      <c r="K224" s="10"/>
      <c r="L224" s="10"/>
      <c r="M224" s="9"/>
      <c r="N224" s="9"/>
      <c r="O224" s="9"/>
      <c r="P22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4" s="9"/>
      <c r="R224" s="9"/>
      <c r="S224" s="9"/>
      <c r="T224" s="37"/>
      <c r="U224" s="37"/>
      <c r="V224" s="37"/>
      <c r="W224" s="37"/>
      <c r="X224" s="37"/>
      <c r="Y224" s="37"/>
      <c r="Z22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4" s="37"/>
      <c r="AB224" s="66" t="str">
        <f>IF(COUNTA(SalCommune[[#This Row],[Nom]:[heures annuelles
selon contrat(s)]])=0,"",SalCommune[[#This Row],[Total global]]-ABS(SalCommune[[#This Row],[Dont non opposable]]))</f>
        <v/>
      </c>
      <c r="AC224" s="8"/>
      <c r="AD224" s="63"/>
      <c r="AE224" s="430"/>
      <c r="AF224" s="430"/>
      <c r="AG224" s="430"/>
      <c r="AH224" s="181"/>
      <c r="AI224" s="194">
        <f>IF(COUNTA(SalCommune[[#This Row],[N°]:[heures annuelles
selon contrat(s)]])=0,"",REVEX!$E$9)</f>
        <v>0</v>
      </c>
      <c r="AJ224" s="72" t="str">
        <f>IF(SalCommune[[#This Row],[Allocations fonctions]]="","",IF(ISNA(VLOOKUP(SalCommune[[#This Row],[Allocations fonctions]],DROPDOWN[Dropdown82],1,FALSE))=TRUE,"&lt;-- Veuillez choisir l'allocation parmis la liste déroulante.",""))</f>
        <v/>
      </c>
    </row>
    <row r="225" spans="1:36" x14ac:dyDescent="0.25">
      <c r="A225" s="72" t="str">
        <f>IF(SalCommune[[#This Row],[Statut]]="","",IF(ISNA(VLOOKUP(SalCommune[[#This Row],[Statut]],'Grille communale'!$B$3:$B$5,1,FALSE))=TRUE,"Veuillez choisir le statut parmis la liste déroulante",""))</f>
        <v/>
      </c>
      <c r="B225" s="725" t="str">
        <f>IF(SalCommune[[#This Row],[Matricule]]="","",MAX($B$7:B224)+1)</f>
        <v/>
      </c>
      <c r="C225" s="8"/>
      <c r="D225" s="8"/>
      <c r="E225" s="20"/>
      <c r="F225" s="8"/>
      <c r="G225" s="8"/>
      <c r="H225" s="9"/>
      <c r="I225" s="9"/>
      <c r="J225" s="9"/>
      <c r="K225" s="10"/>
      <c r="L225" s="10"/>
      <c r="M225" s="9"/>
      <c r="N225" s="9"/>
      <c r="O225" s="9"/>
      <c r="P22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5" s="9"/>
      <c r="R225" s="9"/>
      <c r="S225" s="9"/>
      <c r="T225" s="37"/>
      <c r="U225" s="37"/>
      <c r="V225" s="37"/>
      <c r="W225" s="37"/>
      <c r="X225" s="37"/>
      <c r="Y225" s="37"/>
      <c r="Z22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5" s="37"/>
      <c r="AB225" s="66" t="str">
        <f>IF(COUNTA(SalCommune[[#This Row],[Nom]:[heures annuelles
selon contrat(s)]])=0,"",SalCommune[[#This Row],[Total global]]-ABS(SalCommune[[#This Row],[Dont non opposable]]))</f>
        <v/>
      </c>
      <c r="AC225" s="8"/>
      <c r="AD225" s="63"/>
      <c r="AE225" s="430"/>
      <c r="AF225" s="430"/>
      <c r="AG225" s="430"/>
      <c r="AH225" s="181"/>
      <c r="AI225" s="194">
        <f>IF(COUNTA(SalCommune[[#This Row],[N°]:[heures annuelles
selon contrat(s)]])=0,"",REVEX!$E$9)</f>
        <v>0</v>
      </c>
      <c r="AJ225" s="72" t="str">
        <f>IF(SalCommune[[#This Row],[Allocations fonctions]]="","",IF(ISNA(VLOOKUP(SalCommune[[#This Row],[Allocations fonctions]],DROPDOWN[Dropdown82],1,FALSE))=TRUE,"&lt;-- Veuillez choisir l'allocation parmis la liste déroulante.",""))</f>
        <v/>
      </c>
    </row>
    <row r="226" spans="1:36" x14ac:dyDescent="0.25">
      <c r="A226" s="72" t="str">
        <f>IF(SalCommune[[#This Row],[Statut]]="","",IF(ISNA(VLOOKUP(SalCommune[[#This Row],[Statut]],'Grille communale'!$B$3:$B$5,1,FALSE))=TRUE,"Veuillez choisir le statut parmis la liste déroulante",""))</f>
        <v/>
      </c>
      <c r="B226" s="725" t="str">
        <f>IF(SalCommune[[#This Row],[Matricule]]="","",MAX($B$7:B225)+1)</f>
        <v/>
      </c>
      <c r="C226" s="8"/>
      <c r="D226" s="8"/>
      <c r="E226" s="20"/>
      <c r="F226" s="8"/>
      <c r="G226" s="8"/>
      <c r="H226" s="9"/>
      <c r="I226" s="9"/>
      <c r="J226" s="9"/>
      <c r="K226" s="10"/>
      <c r="L226" s="10"/>
      <c r="M226" s="9"/>
      <c r="N226" s="9"/>
      <c r="O226" s="9"/>
      <c r="P22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6" s="9"/>
      <c r="R226" s="9"/>
      <c r="S226" s="9"/>
      <c r="T226" s="37"/>
      <c r="U226" s="37"/>
      <c r="V226" s="37"/>
      <c r="W226" s="37"/>
      <c r="X226" s="37"/>
      <c r="Y226" s="37"/>
      <c r="Z22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6" s="37"/>
      <c r="AB226" s="66" t="str">
        <f>IF(COUNTA(SalCommune[[#This Row],[Nom]:[heures annuelles
selon contrat(s)]])=0,"",SalCommune[[#This Row],[Total global]]-ABS(SalCommune[[#This Row],[Dont non opposable]]))</f>
        <v/>
      </c>
      <c r="AC226" s="8"/>
      <c r="AD226" s="63"/>
      <c r="AE226" s="430"/>
      <c r="AF226" s="430"/>
      <c r="AG226" s="430"/>
      <c r="AH226" s="181"/>
      <c r="AI226" s="194">
        <f>IF(COUNTA(SalCommune[[#This Row],[N°]:[heures annuelles
selon contrat(s)]])=0,"",REVEX!$E$9)</f>
        <v>0</v>
      </c>
      <c r="AJ226" s="72" t="str">
        <f>IF(SalCommune[[#This Row],[Allocations fonctions]]="","",IF(ISNA(VLOOKUP(SalCommune[[#This Row],[Allocations fonctions]],DROPDOWN[Dropdown82],1,FALSE))=TRUE,"&lt;-- Veuillez choisir l'allocation parmis la liste déroulante.",""))</f>
        <v/>
      </c>
    </row>
    <row r="227" spans="1:36" x14ac:dyDescent="0.25">
      <c r="A227" s="72" t="str">
        <f>IF(SalCommune[[#This Row],[Statut]]="","",IF(ISNA(VLOOKUP(SalCommune[[#This Row],[Statut]],'Grille communale'!$B$3:$B$5,1,FALSE))=TRUE,"Veuillez choisir le statut parmis la liste déroulante",""))</f>
        <v/>
      </c>
      <c r="B227" s="725" t="str">
        <f>IF(SalCommune[[#This Row],[Matricule]]="","",MAX($B$7:B226)+1)</f>
        <v/>
      </c>
      <c r="C227" s="8"/>
      <c r="D227" s="8"/>
      <c r="E227" s="20"/>
      <c r="F227" s="8"/>
      <c r="G227" s="8"/>
      <c r="H227" s="9"/>
      <c r="I227" s="9"/>
      <c r="J227" s="9"/>
      <c r="K227" s="10"/>
      <c r="L227" s="10"/>
      <c r="M227" s="9"/>
      <c r="N227" s="9"/>
      <c r="O227" s="9"/>
      <c r="P22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7" s="9"/>
      <c r="R227" s="9"/>
      <c r="S227" s="9"/>
      <c r="T227" s="37"/>
      <c r="U227" s="37"/>
      <c r="V227" s="37"/>
      <c r="W227" s="37"/>
      <c r="X227" s="37"/>
      <c r="Y227" s="37"/>
      <c r="Z22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7" s="37"/>
      <c r="AB227" s="66" t="str">
        <f>IF(COUNTA(SalCommune[[#This Row],[Nom]:[heures annuelles
selon contrat(s)]])=0,"",SalCommune[[#This Row],[Total global]]-ABS(SalCommune[[#This Row],[Dont non opposable]]))</f>
        <v/>
      </c>
      <c r="AC227" s="8"/>
      <c r="AD227" s="63"/>
      <c r="AE227" s="430"/>
      <c r="AF227" s="430"/>
      <c r="AG227" s="430"/>
      <c r="AH227" s="181"/>
      <c r="AI227" s="194">
        <f>IF(COUNTA(SalCommune[[#This Row],[N°]:[heures annuelles
selon contrat(s)]])=0,"",REVEX!$E$9)</f>
        <v>0</v>
      </c>
      <c r="AJ227" s="72" t="str">
        <f>IF(SalCommune[[#This Row],[Allocations fonctions]]="","",IF(ISNA(VLOOKUP(SalCommune[[#This Row],[Allocations fonctions]],DROPDOWN[Dropdown82],1,FALSE))=TRUE,"&lt;-- Veuillez choisir l'allocation parmis la liste déroulante.",""))</f>
        <v/>
      </c>
    </row>
    <row r="228" spans="1:36" x14ac:dyDescent="0.25">
      <c r="A228" s="72" t="str">
        <f>IF(SalCommune[[#This Row],[Statut]]="","",IF(ISNA(VLOOKUP(SalCommune[[#This Row],[Statut]],'Grille communale'!$B$3:$B$5,1,FALSE))=TRUE,"Veuillez choisir le statut parmis la liste déroulante",""))</f>
        <v/>
      </c>
      <c r="B228" s="725" t="str">
        <f>IF(SalCommune[[#This Row],[Matricule]]="","",MAX($B$7:B227)+1)</f>
        <v/>
      </c>
      <c r="C228" s="8"/>
      <c r="D228" s="8"/>
      <c r="E228" s="20"/>
      <c r="F228" s="8"/>
      <c r="G228" s="8"/>
      <c r="H228" s="9"/>
      <c r="I228" s="9"/>
      <c r="J228" s="9"/>
      <c r="K228" s="10"/>
      <c r="L228" s="10"/>
      <c r="M228" s="9"/>
      <c r="N228" s="9"/>
      <c r="O228" s="9"/>
      <c r="P22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8" s="9"/>
      <c r="R228" s="9"/>
      <c r="S228" s="9"/>
      <c r="T228" s="37"/>
      <c r="U228" s="37"/>
      <c r="V228" s="37"/>
      <c r="W228" s="37"/>
      <c r="X228" s="37"/>
      <c r="Y228" s="37"/>
      <c r="Z22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8" s="37"/>
      <c r="AB228" s="66" t="str">
        <f>IF(COUNTA(SalCommune[[#This Row],[Nom]:[heures annuelles
selon contrat(s)]])=0,"",SalCommune[[#This Row],[Total global]]-ABS(SalCommune[[#This Row],[Dont non opposable]]))</f>
        <v/>
      </c>
      <c r="AC228" s="8"/>
      <c r="AD228" s="63"/>
      <c r="AE228" s="430"/>
      <c r="AF228" s="430"/>
      <c r="AG228" s="430"/>
      <c r="AH228" s="181"/>
      <c r="AI228" s="194">
        <f>IF(COUNTA(SalCommune[[#This Row],[N°]:[heures annuelles
selon contrat(s)]])=0,"",REVEX!$E$9)</f>
        <v>0</v>
      </c>
      <c r="AJ228" s="72" t="str">
        <f>IF(SalCommune[[#This Row],[Allocations fonctions]]="","",IF(ISNA(VLOOKUP(SalCommune[[#This Row],[Allocations fonctions]],DROPDOWN[Dropdown82],1,FALSE))=TRUE,"&lt;-- Veuillez choisir l'allocation parmis la liste déroulante.",""))</f>
        <v/>
      </c>
    </row>
    <row r="229" spans="1:36" x14ac:dyDescent="0.25">
      <c r="A229" s="72" t="str">
        <f>IF(SalCommune[[#This Row],[Statut]]="","",IF(ISNA(VLOOKUP(SalCommune[[#This Row],[Statut]],'Grille communale'!$B$3:$B$5,1,FALSE))=TRUE,"Veuillez choisir le statut parmis la liste déroulante",""))</f>
        <v/>
      </c>
      <c r="B229" s="725" t="str">
        <f>IF(SalCommune[[#This Row],[Matricule]]="","",MAX($B$7:B228)+1)</f>
        <v/>
      </c>
      <c r="C229" s="8"/>
      <c r="D229" s="8"/>
      <c r="E229" s="20"/>
      <c r="F229" s="8"/>
      <c r="G229" s="8"/>
      <c r="H229" s="9"/>
      <c r="I229" s="9"/>
      <c r="J229" s="9"/>
      <c r="K229" s="10"/>
      <c r="L229" s="10"/>
      <c r="M229" s="9"/>
      <c r="N229" s="9"/>
      <c r="O229" s="9"/>
      <c r="P22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29" s="9"/>
      <c r="R229" s="9"/>
      <c r="S229" s="9"/>
      <c r="T229" s="37"/>
      <c r="U229" s="37"/>
      <c r="V229" s="37"/>
      <c r="W229" s="37"/>
      <c r="X229" s="37"/>
      <c r="Y229" s="37"/>
      <c r="Z22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29" s="37"/>
      <c r="AB229" s="66" t="str">
        <f>IF(COUNTA(SalCommune[[#This Row],[Nom]:[heures annuelles
selon contrat(s)]])=0,"",SalCommune[[#This Row],[Total global]]-ABS(SalCommune[[#This Row],[Dont non opposable]]))</f>
        <v/>
      </c>
      <c r="AC229" s="8"/>
      <c r="AD229" s="63"/>
      <c r="AE229" s="430"/>
      <c r="AF229" s="430"/>
      <c r="AG229" s="430"/>
      <c r="AH229" s="181"/>
      <c r="AI229" s="194">
        <f>IF(COUNTA(SalCommune[[#This Row],[N°]:[heures annuelles
selon contrat(s)]])=0,"",REVEX!$E$9)</f>
        <v>0</v>
      </c>
      <c r="AJ229" s="72" t="str">
        <f>IF(SalCommune[[#This Row],[Allocations fonctions]]="","",IF(ISNA(VLOOKUP(SalCommune[[#This Row],[Allocations fonctions]],DROPDOWN[Dropdown82],1,FALSE))=TRUE,"&lt;-- Veuillez choisir l'allocation parmis la liste déroulante.",""))</f>
        <v/>
      </c>
    </row>
    <row r="230" spans="1:36" x14ac:dyDescent="0.25">
      <c r="A230" s="72" t="str">
        <f>IF(SalCommune[[#This Row],[Statut]]="","",IF(ISNA(VLOOKUP(SalCommune[[#This Row],[Statut]],'Grille communale'!$B$3:$B$5,1,FALSE))=TRUE,"Veuillez choisir le statut parmis la liste déroulante",""))</f>
        <v/>
      </c>
      <c r="B230" s="725" t="str">
        <f>IF(SalCommune[[#This Row],[Matricule]]="","",MAX($B$7:B229)+1)</f>
        <v/>
      </c>
      <c r="C230" s="8"/>
      <c r="D230" s="8"/>
      <c r="E230" s="20"/>
      <c r="F230" s="8"/>
      <c r="G230" s="8"/>
      <c r="H230" s="9"/>
      <c r="I230" s="9"/>
      <c r="J230" s="9"/>
      <c r="K230" s="10"/>
      <c r="L230" s="10"/>
      <c r="M230" s="9"/>
      <c r="N230" s="9"/>
      <c r="O230" s="9"/>
      <c r="P23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0" s="9"/>
      <c r="R230" s="9"/>
      <c r="S230" s="9"/>
      <c r="T230" s="37"/>
      <c r="U230" s="37"/>
      <c r="V230" s="37"/>
      <c r="W230" s="37"/>
      <c r="X230" s="37"/>
      <c r="Y230" s="37"/>
      <c r="Z23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0" s="37"/>
      <c r="AB230" s="66" t="str">
        <f>IF(COUNTA(SalCommune[[#This Row],[Nom]:[heures annuelles
selon contrat(s)]])=0,"",SalCommune[[#This Row],[Total global]]-ABS(SalCommune[[#This Row],[Dont non opposable]]))</f>
        <v/>
      </c>
      <c r="AC230" s="8"/>
      <c r="AD230" s="63"/>
      <c r="AE230" s="430"/>
      <c r="AF230" s="430"/>
      <c r="AG230" s="430"/>
      <c r="AH230" s="181"/>
      <c r="AI230" s="194">
        <f>IF(COUNTA(SalCommune[[#This Row],[N°]:[heures annuelles
selon contrat(s)]])=0,"",REVEX!$E$9)</f>
        <v>0</v>
      </c>
      <c r="AJ230" s="72" t="str">
        <f>IF(SalCommune[[#This Row],[Allocations fonctions]]="","",IF(ISNA(VLOOKUP(SalCommune[[#This Row],[Allocations fonctions]],DROPDOWN[Dropdown82],1,FALSE))=TRUE,"&lt;-- Veuillez choisir l'allocation parmis la liste déroulante.",""))</f>
        <v/>
      </c>
    </row>
    <row r="231" spans="1:36" x14ac:dyDescent="0.25">
      <c r="A231" s="72" t="str">
        <f>IF(SalCommune[[#This Row],[Statut]]="","",IF(ISNA(VLOOKUP(SalCommune[[#This Row],[Statut]],'Grille communale'!$B$3:$B$5,1,FALSE))=TRUE,"Veuillez choisir le statut parmis la liste déroulante",""))</f>
        <v/>
      </c>
      <c r="B231" s="725" t="str">
        <f>IF(SalCommune[[#This Row],[Matricule]]="","",MAX($B$7:B230)+1)</f>
        <v/>
      </c>
      <c r="C231" s="8"/>
      <c r="D231" s="8"/>
      <c r="E231" s="20"/>
      <c r="F231" s="8"/>
      <c r="G231" s="8"/>
      <c r="H231" s="9"/>
      <c r="I231" s="9"/>
      <c r="J231" s="9"/>
      <c r="K231" s="10"/>
      <c r="L231" s="10"/>
      <c r="M231" s="9"/>
      <c r="N231" s="9"/>
      <c r="O231" s="9"/>
      <c r="P23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1" s="9"/>
      <c r="R231" s="9"/>
      <c r="S231" s="9"/>
      <c r="T231" s="37"/>
      <c r="U231" s="37"/>
      <c r="V231" s="37"/>
      <c r="W231" s="37"/>
      <c r="X231" s="37"/>
      <c r="Y231" s="37"/>
      <c r="Z23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1" s="37"/>
      <c r="AB231" s="66" t="str">
        <f>IF(COUNTA(SalCommune[[#This Row],[Nom]:[heures annuelles
selon contrat(s)]])=0,"",SalCommune[[#This Row],[Total global]]-ABS(SalCommune[[#This Row],[Dont non opposable]]))</f>
        <v/>
      </c>
      <c r="AC231" s="8"/>
      <c r="AD231" s="63"/>
      <c r="AE231" s="430"/>
      <c r="AF231" s="430"/>
      <c r="AG231" s="430"/>
      <c r="AH231" s="181"/>
      <c r="AI231" s="194">
        <f>IF(COUNTA(SalCommune[[#This Row],[N°]:[heures annuelles
selon contrat(s)]])=0,"",REVEX!$E$9)</f>
        <v>0</v>
      </c>
      <c r="AJ231" s="72" t="str">
        <f>IF(SalCommune[[#This Row],[Allocations fonctions]]="","",IF(ISNA(VLOOKUP(SalCommune[[#This Row],[Allocations fonctions]],DROPDOWN[Dropdown82],1,FALSE))=TRUE,"&lt;-- Veuillez choisir l'allocation parmis la liste déroulante.",""))</f>
        <v/>
      </c>
    </row>
    <row r="232" spans="1:36" x14ac:dyDescent="0.25">
      <c r="A232" s="72" t="str">
        <f>IF(SalCommune[[#This Row],[Statut]]="","",IF(ISNA(VLOOKUP(SalCommune[[#This Row],[Statut]],'Grille communale'!$B$3:$B$5,1,FALSE))=TRUE,"Veuillez choisir le statut parmis la liste déroulante",""))</f>
        <v/>
      </c>
      <c r="B232" s="725" t="str">
        <f>IF(SalCommune[[#This Row],[Matricule]]="","",MAX($B$7:B231)+1)</f>
        <v/>
      </c>
      <c r="C232" s="8"/>
      <c r="D232" s="8"/>
      <c r="E232" s="20"/>
      <c r="F232" s="8"/>
      <c r="G232" s="8"/>
      <c r="H232" s="9"/>
      <c r="I232" s="9"/>
      <c r="J232" s="9"/>
      <c r="K232" s="10"/>
      <c r="L232" s="10"/>
      <c r="M232" s="9"/>
      <c r="N232" s="9"/>
      <c r="O232" s="9"/>
      <c r="P23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2" s="9"/>
      <c r="R232" s="9"/>
      <c r="S232" s="9"/>
      <c r="T232" s="37"/>
      <c r="U232" s="37"/>
      <c r="V232" s="37"/>
      <c r="W232" s="37"/>
      <c r="X232" s="37"/>
      <c r="Y232" s="37"/>
      <c r="Z23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2" s="37"/>
      <c r="AB232" s="66" t="str">
        <f>IF(COUNTA(SalCommune[[#This Row],[Nom]:[heures annuelles
selon contrat(s)]])=0,"",SalCommune[[#This Row],[Total global]]-ABS(SalCommune[[#This Row],[Dont non opposable]]))</f>
        <v/>
      </c>
      <c r="AC232" s="8"/>
      <c r="AD232" s="63"/>
      <c r="AE232" s="430"/>
      <c r="AF232" s="430"/>
      <c r="AG232" s="430"/>
      <c r="AH232" s="181"/>
      <c r="AI232" s="194">
        <f>IF(COUNTA(SalCommune[[#This Row],[N°]:[heures annuelles
selon contrat(s)]])=0,"",REVEX!$E$9)</f>
        <v>0</v>
      </c>
      <c r="AJ232" s="72" t="str">
        <f>IF(SalCommune[[#This Row],[Allocations fonctions]]="","",IF(ISNA(VLOOKUP(SalCommune[[#This Row],[Allocations fonctions]],DROPDOWN[Dropdown82],1,FALSE))=TRUE,"&lt;-- Veuillez choisir l'allocation parmis la liste déroulante.",""))</f>
        <v/>
      </c>
    </row>
    <row r="233" spans="1:36" x14ac:dyDescent="0.25">
      <c r="A233" s="72" t="str">
        <f>IF(SalCommune[[#This Row],[Statut]]="","",IF(ISNA(VLOOKUP(SalCommune[[#This Row],[Statut]],'Grille communale'!$B$3:$B$5,1,FALSE))=TRUE,"Veuillez choisir le statut parmis la liste déroulante",""))</f>
        <v/>
      </c>
      <c r="B233" s="725" t="str">
        <f>IF(SalCommune[[#This Row],[Matricule]]="","",MAX($B$7:B232)+1)</f>
        <v/>
      </c>
      <c r="C233" s="8"/>
      <c r="D233" s="8"/>
      <c r="E233" s="20"/>
      <c r="F233" s="8"/>
      <c r="G233" s="8"/>
      <c r="H233" s="9"/>
      <c r="I233" s="9"/>
      <c r="J233" s="9"/>
      <c r="K233" s="10"/>
      <c r="L233" s="10"/>
      <c r="M233" s="9"/>
      <c r="N233" s="9"/>
      <c r="O233" s="9"/>
      <c r="P23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3" s="9"/>
      <c r="R233" s="9"/>
      <c r="S233" s="9"/>
      <c r="T233" s="37"/>
      <c r="U233" s="37"/>
      <c r="V233" s="37"/>
      <c r="W233" s="37"/>
      <c r="X233" s="37"/>
      <c r="Y233" s="37"/>
      <c r="Z23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3" s="37"/>
      <c r="AB233" s="66" t="str">
        <f>IF(COUNTA(SalCommune[[#This Row],[Nom]:[heures annuelles
selon contrat(s)]])=0,"",SalCommune[[#This Row],[Total global]]-ABS(SalCommune[[#This Row],[Dont non opposable]]))</f>
        <v/>
      </c>
      <c r="AC233" s="8"/>
      <c r="AD233" s="63"/>
      <c r="AE233" s="430"/>
      <c r="AF233" s="430"/>
      <c r="AG233" s="430"/>
      <c r="AH233" s="181"/>
      <c r="AI233" s="194">
        <f>IF(COUNTA(SalCommune[[#This Row],[N°]:[heures annuelles
selon contrat(s)]])=0,"",REVEX!$E$9)</f>
        <v>0</v>
      </c>
      <c r="AJ233" s="72" t="str">
        <f>IF(SalCommune[[#This Row],[Allocations fonctions]]="","",IF(ISNA(VLOOKUP(SalCommune[[#This Row],[Allocations fonctions]],DROPDOWN[Dropdown82],1,FALSE))=TRUE,"&lt;-- Veuillez choisir l'allocation parmis la liste déroulante.",""))</f>
        <v/>
      </c>
    </row>
    <row r="234" spans="1:36" x14ac:dyDescent="0.25">
      <c r="A234" s="72" t="str">
        <f>IF(SalCommune[[#This Row],[Statut]]="","",IF(ISNA(VLOOKUP(SalCommune[[#This Row],[Statut]],'Grille communale'!$B$3:$B$5,1,FALSE))=TRUE,"Veuillez choisir le statut parmis la liste déroulante",""))</f>
        <v/>
      </c>
      <c r="B234" s="725" t="str">
        <f>IF(SalCommune[[#This Row],[Matricule]]="","",MAX($B$7:B233)+1)</f>
        <v/>
      </c>
      <c r="C234" s="8"/>
      <c r="D234" s="8"/>
      <c r="E234" s="20"/>
      <c r="F234" s="8"/>
      <c r="G234" s="8"/>
      <c r="H234" s="9"/>
      <c r="I234" s="9"/>
      <c r="J234" s="9"/>
      <c r="K234" s="10"/>
      <c r="L234" s="10"/>
      <c r="M234" s="9"/>
      <c r="N234" s="9"/>
      <c r="O234" s="9"/>
      <c r="P23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4" s="9"/>
      <c r="R234" s="9"/>
      <c r="S234" s="9"/>
      <c r="T234" s="37"/>
      <c r="U234" s="37"/>
      <c r="V234" s="37"/>
      <c r="W234" s="37"/>
      <c r="X234" s="37"/>
      <c r="Y234" s="37"/>
      <c r="Z23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4" s="37"/>
      <c r="AB234" s="66" t="str">
        <f>IF(COUNTA(SalCommune[[#This Row],[Nom]:[heures annuelles
selon contrat(s)]])=0,"",SalCommune[[#This Row],[Total global]]-ABS(SalCommune[[#This Row],[Dont non opposable]]))</f>
        <v/>
      </c>
      <c r="AC234" s="8"/>
      <c r="AD234" s="63"/>
      <c r="AE234" s="430"/>
      <c r="AF234" s="430"/>
      <c r="AG234" s="430"/>
      <c r="AH234" s="181"/>
      <c r="AI234" s="194">
        <f>IF(COUNTA(SalCommune[[#This Row],[N°]:[heures annuelles
selon contrat(s)]])=0,"",REVEX!$E$9)</f>
        <v>0</v>
      </c>
      <c r="AJ234" s="72" t="str">
        <f>IF(SalCommune[[#This Row],[Allocations fonctions]]="","",IF(ISNA(VLOOKUP(SalCommune[[#This Row],[Allocations fonctions]],DROPDOWN[Dropdown82],1,FALSE))=TRUE,"&lt;-- Veuillez choisir l'allocation parmis la liste déroulante.",""))</f>
        <v/>
      </c>
    </row>
    <row r="235" spans="1:36" x14ac:dyDescent="0.25">
      <c r="A235" s="72" t="str">
        <f>IF(SalCommune[[#This Row],[Statut]]="","",IF(ISNA(VLOOKUP(SalCommune[[#This Row],[Statut]],'Grille communale'!$B$3:$B$5,1,FALSE))=TRUE,"Veuillez choisir le statut parmis la liste déroulante",""))</f>
        <v/>
      </c>
      <c r="B235" s="725" t="str">
        <f>IF(SalCommune[[#This Row],[Matricule]]="","",MAX($B$7:B234)+1)</f>
        <v/>
      </c>
      <c r="C235" s="8"/>
      <c r="D235" s="8"/>
      <c r="E235" s="20"/>
      <c r="F235" s="8"/>
      <c r="G235" s="8"/>
      <c r="H235" s="9"/>
      <c r="I235" s="9"/>
      <c r="J235" s="9"/>
      <c r="K235" s="10"/>
      <c r="L235" s="10"/>
      <c r="M235" s="9"/>
      <c r="N235" s="9"/>
      <c r="O235" s="9"/>
      <c r="P23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5" s="9"/>
      <c r="R235" s="9"/>
      <c r="S235" s="9"/>
      <c r="T235" s="37"/>
      <c r="U235" s="37"/>
      <c r="V235" s="37"/>
      <c r="W235" s="37"/>
      <c r="X235" s="37"/>
      <c r="Y235" s="37"/>
      <c r="Z23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5" s="37"/>
      <c r="AB235" s="66" t="str">
        <f>IF(COUNTA(SalCommune[[#This Row],[Nom]:[heures annuelles
selon contrat(s)]])=0,"",SalCommune[[#This Row],[Total global]]-ABS(SalCommune[[#This Row],[Dont non opposable]]))</f>
        <v/>
      </c>
      <c r="AC235" s="8"/>
      <c r="AD235" s="63"/>
      <c r="AE235" s="430"/>
      <c r="AF235" s="430"/>
      <c r="AG235" s="430"/>
      <c r="AH235" s="181"/>
      <c r="AI235" s="194">
        <f>IF(COUNTA(SalCommune[[#This Row],[N°]:[heures annuelles
selon contrat(s)]])=0,"",REVEX!$E$9)</f>
        <v>0</v>
      </c>
      <c r="AJ235" s="72" t="str">
        <f>IF(SalCommune[[#This Row],[Allocations fonctions]]="","",IF(ISNA(VLOOKUP(SalCommune[[#This Row],[Allocations fonctions]],DROPDOWN[Dropdown82],1,FALSE))=TRUE,"&lt;-- Veuillez choisir l'allocation parmis la liste déroulante.",""))</f>
        <v/>
      </c>
    </row>
    <row r="236" spans="1:36" x14ac:dyDescent="0.25">
      <c r="A236" s="72" t="str">
        <f>IF(SalCommune[[#This Row],[Statut]]="","",IF(ISNA(VLOOKUP(SalCommune[[#This Row],[Statut]],'Grille communale'!$B$3:$B$5,1,FALSE))=TRUE,"Veuillez choisir le statut parmis la liste déroulante",""))</f>
        <v/>
      </c>
      <c r="B236" s="725" t="str">
        <f>IF(SalCommune[[#This Row],[Matricule]]="","",MAX($B$7:B235)+1)</f>
        <v/>
      </c>
      <c r="C236" s="8"/>
      <c r="D236" s="8"/>
      <c r="E236" s="20"/>
      <c r="F236" s="8"/>
      <c r="G236" s="8"/>
      <c r="H236" s="9"/>
      <c r="I236" s="9"/>
      <c r="J236" s="9"/>
      <c r="K236" s="10"/>
      <c r="L236" s="10"/>
      <c r="M236" s="9"/>
      <c r="N236" s="9"/>
      <c r="O236" s="9"/>
      <c r="P23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6" s="9"/>
      <c r="R236" s="9"/>
      <c r="S236" s="9"/>
      <c r="T236" s="37"/>
      <c r="U236" s="37"/>
      <c r="V236" s="37"/>
      <c r="W236" s="37"/>
      <c r="X236" s="37"/>
      <c r="Y236" s="37"/>
      <c r="Z23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6" s="37"/>
      <c r="AB236" s="66" t="str">
        <f>IF(COUNTA(SalCommune[[#This Row],[Nom]:[heures annuelles
selon contrat(s)]])=0,"",SalCommune[[#This Row],[Total global]]-ABS(SalCommune[[#This Row],[Dont non opposable]]))</f>
        <v/>
      </c>
      <c r="AC236" s="8"/>
      <c r="AD236" s="63"/>
      <c r="AE236" s="430"/>
      <c r="AF236" s="430"/>
      <c r="AG236" s="430"/>
      <c r="AH236" s="181"/>
      <c r="AI236" s="194">
        <f>IF(COUNTA(SalCommune[[#This Row],[N°]:[heures annuelles
selon contrat(s)]])=0,"",REVEX!$E$9)</f>
        <v>0</v>
      </c>
      <c r="AJ236" s="72" t="str">
        <f>IF(SalCommune[[#This Row],[Allocations fonctions]]="","",IF(ISNA(VLOOKUP(SalCommune[[#This Row],[Allocations fonctions]],DROPDOWN[Dropdown82],1,FALSE))=TRUE,"&lt;-- Veuillez choisir l'allocation parmis la liste déroulante.",""))</f>
        <v/>
      </c>
    </row>
    <row r="237" spans="1:36" x14ac:dyDescent="0.25">
      <c r="A237" s="72" t="str">
        <f>IF(SalCommune[[#This Row],[Statut]]="","",IF(ISNA(VLOOKUP(SalCommune[[#This Row],[Statut]],'Grille communale'!$B$3:$B$5,1,FALSE))=TRUE,"Veuillez choisir le statut parmis la liste déroulante",""))</f>
        <v/>
      </c>
      <c r="B237" s="725" t="str">
        <f>IF(SalCommune[[#This Row],[Matricule]]="","",MAX($B$7:B236)+1)</f>
        <v/>
      </c>
      <c r="C237" s="8"/>
      <c r="D237" s="8"/>
      <c r="E237" s="20"/>
      <c r="F237" s="8"/>
      <c r="G237" s="8"/>
      <c r="H237" s="9"/>
      <c r="I237" s="9"/>
      <c r="J237" s="9"/>
      <c r="K237" s="10"/>
      <c r="L237" s="10"/>
      <c r="M237" s="9"/>
      <c r="N237" s="9"/>
      <c r="O237" s="9"/>
      <c r="P23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7" s="9"/>
      <c r="R237" s="9"/>
      <c r="S237" s="9"/>
      <c r="T237" s="37"/>
      <c r="U237" s="37"/>
      <c r="V237" s="37"/>
      <c r="W237" s="37"/>
      <c r="X237" s="37"/>
      <c r="Y237" s="37"/>
      <c r="Z23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7" s="37"/>
      <c r="AB237" s="66" t="str">
        <f>IF(COUNTA(SalCommune[[#This Row],[Nom]:[heures annuelles
selon contrat(s)]])=0,"",SalCommune[[#This Row],[Total global]]-ABS(SalCommune[[#This Row],[Dont non opposable]]))</f>
        <v/>
      </c>
      <c r="AC237" s="8"/>
      <c r="AD237" s="63"/>
      <c r="AE237" s="430"/>
      <c r="AF237" s="430"/>
      <c r="AG237" s="430"/>
      <c r="AH237" s="181"/>
      <c r="AI237" s="194">
        <f>IF(COUNTA(SalCommune[[#This Row],[N°]:[heures annuelles
selon contrat(s)]])=0,"",REVEX!$E$9)</f>
        <v>0</v>
      </c>
      <c r="AJ237" s="72" t="str">
        <f>IF(SalCommune[[#This Row],[Allocations fonctions]]="","",IF(ISNA(VLOOKUP(SalCommune[[#This Row],[Allocations fonctions]],DROPDOWN[Dropdown82],1,FALSE))=TRUE,"&lt;-- Veuillez choisir l'allocation parmis la liste déroulante.",""))</f>
        <v/>
      </c>
    </row>
    <row r="238" spans="1:36" x14ac:dyDescent="0.25">
      <c r="A238" s="72" t="str">
        <f>IF(SalCommune[[#This Row],[Statut]]="","",IF(ISNA(VLOOKUP(SalCommune[[#This Row],[Statut]],'Grille communale'!$B$3:$B$5,1,FALSE))=TRUE,"Veuillez choisir le statut parmis la liste déroulante",""))</f>
        <v/>
      </c>
      <c r="B238" s="725" t="str">
        <f>IF(SalCommune[[#This Row],[Matricule]]="","",MAX($B$7:B237)+1)</f>
        <v/>
      </c>
      <c r="C238" s="8"/>
      <c r="D238" s="8"/>
      <c r="E238" s="20"/>
      <c r="F238" s="8"/>
      <c r="G238" s="8"/>
      <c r="H238" s="9"/>
      <c r="I238" s="9"/>
      <c r="J238" s="9"/>
      <c r="K238" s="10"/>
      <c r="L238" s="10"/>
      <c r="M238" s="9"/>
      <c r="N238" s="9"/>
      <c r="O238" s="9"/>
      <c r="P23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8" s="9"/>
      <c r="R238" s="9"/>
      <c r="S238" s="9"/>
      <c r="T238" s="37"/>
      <c r="U238" s="37"/>
      <c r="V238" s="37"/>
      <c r="W238" s="37"/>
      <c r="X238" s="37"/>
      <c r="Y238" s="37"/>
      <c r="Z23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8" s="37"/>
      <c r="AB238" s="66" t="str">
        <f>IF(COUNTA(SalCommune[[#This Row],[Nom]:[heures annuelles
selon contrat(s)]])=0,"",SalCommune[[#This Row],[Total global]]-ABS(SalCommune[[#This Row],[Dont non opposable]]))</f>
        <v/>
      </c>
      <c r="AC238" s="8"/>
      <c r="AD238" s="63"/>
      <c r="AE238" s="430"/>
      <c r="AF238" s="430"/>
      <c r="AG238" s="430"/>
      <c r="AH238" s="181"/>
      <c r="AI238" s="194">
        <f>IF(COUNTA(SalCommune[[#This Row],[N°]:[heures annuelles
selon contrat(s)]])=0,"",REVEX!$E$9)</f>
        <v>0</v>
      </c>
      <c r="AJ238" s="72" t="str">
        <f>IF(SalCommune[[#This Row],[Allocations fonctions]]="","",IF(ISNA(VLOOKUP(SalCommune[[#This Row],[Allocations fonctions]],DROPDOWN[Dropdown82],1,FALSE))=TRUE,"&lt;-- Veuillez choisir l'allocation parmis la liste déroulante.",""))</f>
        <v/>
      </c>
    </row>
    <row r="239" spans="1:36" x14ac:dyDescent="0.25">
      <c r="A239" s="72" t="str">
        <f>IF(SalCommune[[#This Row],[Statut]]="","",IF(ISNA(VLOOKUP(SalCommune[[#This Row],[Statut]],'Grille communale'!$B$3:$B$5,1,FALSE))=TRUE,"Veuillez choisir le statut parmis la liste déroulante",""))</f>
        <v/>
      </c>
      <c r="B239" s="725" t="str">
        <f>IF(SalCommune[[#This Row],[Matricule]]="","",MAX($B$7:B238)+1)</f>
        <v/>
      </c>
      <c r="C239" s="8"/>
      <c r="D239" s="8"/>
      <c r="E239" s="20"/>
      <c r="F239" s="8"/>
      <c r="G239" s="8"/>
      <c r="H239" s="9"/>
      <c r="I239" s="9"/>
      <c r="J239" s="9"/>
      <c r="K239" s="10"/>
      <c r="L239" s="10"/>
      <c r="M239" s="9"/>
      <c r="N239" s="9"/>
      <c r="O239" s="9"/>
      <c r="P23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39" s="9"/>
      <c r="R239" s="9"/>
      <c r="S239" s="9"/>
      <c r="T239" s="37"/>
      <c r="U239" s="37"/>
      <c r="V239" s="37"/>
      <c r="W239" s="37"/>
      <c r="X239" s="37"/>
      <c r="Y239" s="37"/>
      <c r="Z23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39" s="37"/>
      <c r="AB239" s="66" t="str">
        <f>IF(COUNTA(SalCommune[[#This Row],[Nom]:[heures annuelles
selon contrat(s)]])=0,"",SalCommune[[#This Row],[Total global]]-ABS(SalCommune[[#This Row],[Dont non opposable]]))</f>
        <v/>
      </c>
      <c r="AC239" s="8"/>
      <c r="AD239" s="63"/>
      <c r="AE239" s="430"/>
      <c r="AF239" s="430"/>
      <c r="AG239" s="430"/>
      <c r="AH239" s="181"/>
      <c r="AI239" s="194">
        <f>IF(COUNTA(SalCommune[[#This Row],[N°]:[heures annuelles
selon contrat(s)]])=0,"",REVEX!$E$9)</f>
        <v>0</v>
      </c>
      <c r="AJ239" s="72" t="str">
        <f>IF(SalCommune[[#This Row],[Allocations fonctions]]="","",IF(ISNA(VLOOKUP(SalCommune[[#This Row],[Allocations fonctions]],DROPDOWN[Dropdown82],1,FALSE))=TRUE,"&lt;-- Veuillez choisir l'allocation parmis la liste déroulante.",""))</f>
        <v/>
      </c>
    </row>
    <row r="240" spans="1:36" x14ac:dyDescent="0.25">
      <c r="A240" s="72" t="str">
        <f>IF(SalCommune[[#This Row],[Statut]]="","",IF(ISNA(VLOOKUP(SalCommune[[#This Row],[Statut]],'Grille communale'!$B$3:$B$5,1,FALSE))=TRUE,"Veuillez choisir le statut parmis la liste déroulante",""))</f>
        <v/>
      </c>
      <c r="B240" s="725" t="str">
        <f>IF(SalCommune[[#This Row],[Matricule]]="","",MAX($B$7:B239)+1)</f>
        <v/>
      </c>
      <c r="C240" s="8"/>
      <c r="D240" s="8"/>
      <c r="E240" s="20"/>
      <c r="F240" s="8"/>
      <c r="G240" s="8"/>
      <c r="H240" s="9"/>
      <c r="I240" s="9"/>
      <c r="J240" s="9"/>
      <c r="K240" s="10"/>
      <c r="L240" s="10"/>
      <c r="M240" s="9"/>
      <c r="N240" s="9"/>
      <c r="O240" s="9"/>
      <c r="P24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0" s="9"/>
      <c r="R240" s="9"/>
      <c r="S240" s="9"/>
      <c r="T240" s="37"/>
      <c r="U240" s="37"/>
      <c r="V240" s="37"/>
      <c r="W240" s="37"/>
      <c r="X240" s="37"/>
      <c r="Y240" s="37"/>
      <c r="Z24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0" s="37"/>
      <c r="AB240" s="66" t="str">
        <f>IF(COUNTA(SalCommune[[#This Row],[Nom]:[heures annuelles
selon contrat(s)]])=0,"",SalCommune[[#This Row],[Total global]]-ABS(SalCommune[[#This Row],[Dont non opposable]]))</f>
        <v/>
      </c>
      <c r="AC240" s="8"/>
      <c r="AD240" s="63"/>
      <c r="AE240" s="430"/>
      <c r="AF240" s="430"/>
      <c r="AG240" s="430"/>
      <c r="AH240" s="181"/>
      <c r="AI240" s="194">
        <f>IF(COUNTA(SalCommune[[#This Row],[N°]:[heures annuelles
selon contrat(s)]])=0,"",REVEX!$E$9)</f>
        <v>0</v>
      </c>
      <c r="AJ240" s="72" t="str">
        <f>IF(SalCommune[[#This Row],[Allocations fonctions]]="","",IF(ISNA(VLOOKUP(SalCommune[[#This Row],[Allocations fonctions]],DROPDOWN[Dropdown82],1,FALSE))=TRUE,"&lt;-- Veuillez choisir l'allocation parmis la liste déroulante.",""))</f>
        <v/>
      </c>
    </row>
    <row r="241" spans="1:36" x14ac:dyDescent="0.25">
      <c r="A241" s="72" t="str">
        <f>IF(SalCommune[[#This Row],[Statut]]="","",IF(ISNA(VLOOKUP(SalCommune[[#This Row],[Statut]],'Grille communale'!$B$3:$B$5,1,FALSE))=TRUE,"Veuillez choisir le statut parmis la liste déroulante",""))</f>
        <v/>
      </c>
      <c r="B241" s="725" t="str">
        <f>IF(SalCommune[[#This Row],[Matricule]]="","",MAX($B$7:B240)+1)</f>
        <v/>
      </c>
      <c r="C241" s="8"/>
      <c r="D241" s="8"/>
      <c r="E241" s="20"/>
      <c r="F241" s="8"/>
      <c r="G241" s="8"/>
      <c r="H241" s="9"/>
      <c r="I241" s="9"/>
      <c r="J241" s="9"/>
      <c r="K241" s="10"/>
      <c r="L241" s="10"/>
      <c r="M241" s="9"/>
      <c r="N241" s="9"/>
      <c r="O241" s="9"/>
      <c r="P24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1" s="9"/>
      <c r="R241" s="9"/>
      <c r="S241" s="9"/>
      <c r="T241" s="37"/>
      <c r="U241" s="37"/>
      <c r="V241" s="37"/>
      <c r="W241" s="37"/>
      <c r="X241" s="37"/>
      <c r="Y241" s="37"/>
      <c r="Z24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1" s="37"/>
      <c r="AB241" s="66" t="str">
        <f>IF(COUNTA(SalCommune[[#This Row],[Nom]:[heures annuelles
selon contrat(s)]])=0,"",SalCommune[[#This Row],[Total global]]-ABS(SalCommune[[#This Row],[Dont non opposable]]))</f>
        <v/>
      </c>
      <c r="AC241" s="8"/>
      <c r="AD241" s="63"/>
      <c r="AE241" s="430"/>
      <c r="AF241" s="430"/>
      <c r="AG241" s="430"/>
      <c r="AH241" s="181"/>
      <c r="AI241" s="194">
        <f>IF(COUNTA(SalCommune[[#This Row],[N°]:[heures annuelles
selon contrat(s)]])=0,"",REVEX!$E$9)</f>
        <v>0</v>
      </c>
      <c r="AJ241" s="72" t="str">
        <f>IF(SalCommune[[#This Row],[Allocations fonctions]]="","",IF(ISNA(VLOOKUP(SalCommune[[#This Row],[Allocations fonctions]],DROPDOWN[Dropdown82],1,FALSE))=TRUE,"&lt;-- Veuillez choisir l'allocation parmis la liste déroulante.",""))</f>
        <v/>
      </c>
    </row>
    <row r="242" spans="1:36" x14ac:dyDescent="0.25">
      <c r="A242" s="72" t="str">
        <f>IF(SalCommune[[#This Row],[Statut]]="","",IF(ISNA(VLOOKUP(SalCommune[[#This Row],[Statut]],'Grille communale'!$B$3:$B$5,1,FALSE))=TRUE,"Veuillez choisir le statut parmis la liste déroulante",""))</f>
        <v/>
      </c>
      <c r="B242" s="725" t="str">
        <f>IF(SalCommune[[#This Row],[Matricule]]="","",MAX($B$7:B241)+1)</f>
        <v/>
      </c>
      <c r="C242" s="8"/>
      <c r="D242" s="8"/>
      <c r="E242" s="20"/>
      <c r="F242" s="8"/>
      <c r="G242" s="8"/>
      <c r="H242" s="9"/>
      <c r="I242" s="9"/>
      <c r="J242" s="9"/>
      <c r="K242" s="10"/>
      <c r="L242" s="10"/>
      <c r="M242" s="9"/>
      <c r="N242" s="9"/>
      <c r="O242" s="9"/>
      <c r="P24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2" s="9"/>
      <c r="R242" s="9"/>
      <c r="S242" s="9"/>
      <c r="T242" s="37"/>
      <c r="U242" s="37"/>
      <c r="V242" s="37"/>
      <c r="W242" s="37"/>
      <c r="X242" s="37"/>
      <c r="Y242" s="37"/>
      <c r="Z24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2" s="37"/>
      <c r="AB242" s="66" t="str">
        <f>IF(COUNTA(SalCommune[[#This Row],[Nom]:[heures annuelles
selon contrat(s)]])=0,"",SalCommune[[#This Row],[Total global]]-ABS(SalCommune[[#This Row],[Dont non opposable]]))</f>
        <v/>
      </c>
      <c r="AC242" s="8"/>
      <c r="AD242" s="63"/>
      <c r="AE242" s="430"/>
      <c r="AF242" s="430"/>
      <c r="AG242" s="430"/>
      <c r="AH242" s="181"/>
      <c r="AI242" s="194">
        <f>IF(COUNTA(SalCommune[[#This Row],[N°]:[heures annuelles
selon contrat(s)]])=0,"",REVEX!$E$9)</f>
        <v>0</v>
      </c>
      <c r="AJ242" s="72" t="str">
        <f>IF(SalCommune[[#This Row],[Allocations fonctions]]="","",IF(ISNA(VLOOKUP(SalCommune[[#This Row],[Allocations fonctions]],DROPDOWN[Dropdown82],1,FALSE))=TRUE,"&lt;-- Veuillez choisir l'allocation parmis la liste déroulante.",""))</f>
        <v/>
      </c>
    </row>
    <row r="243" spans="1:36" x14ac:dyDescent="0.25">
      <c r="A243" s="72" t="str">
        <f>IF(SalCommune[[#This Row],[Statut]]="","",IF(ISNA(VLOOKUP(SalCommune[[#This Row],[Statut]],'Grille communale'!$B$3:$B$5,1,FALSE))=TRUE,"Veuillez choisir le statut parmis la liste déroulante",""))</f>
        <v/>
      </c>
      <c r="B243" s="725" t="str">
        <f>IF(SalCommune[[#This Row],[Matricule]]="","",MAX($B$7:B242)+1)</f>
        <v/>
      </c>
      <c r="C243" s="8"/>
      <c r="D243" s="8"/>
      <c r="E243" s="20"/>
      <c r="F243" s="8"/>
      <c r="G243" s="8"/>
      <c r="H243" s="9"/>
      <c r="I243" s="9"/>
      <c r="J243" s="9"/>
      <c r="K243" s="10"/>
      <c r="L243" s="10"/>
      <c r="M243" s="9"/>
      <c r="N243" s="9"/>
      <c r="O243" s="9"/>
      <c r="P24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3" s="9"/>
      <c r="R243" s="9"/>
      <c r="S243" s="9"/>
      <c r="T243" s="37"/>
      <c r="U243" s="37"/>
      <c r="V243" s="37"/>
      <c r="W243" s="37"/>
      <c r="X243" s="37"/>
      <c r="Y243" s="37"/>
      <c r="Z24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3" s="37"/>
      <c r="AB243" s="66" t="str">
        <f>IF(COUNTA(SalCommune[[#This Row],[Nom]:[heures annuelles
selon contrat(s)]])=0,"",SalCommune[[#This Row],[Total global]]-ABS(SalCommune[[#This Row],[Dont non opposable]]))</f>
        <v/>
      </c>
      <c r="AC243" s="8"/>
      <c r="AD243" s="63"/>
      <c r="AE243" s="430"/>
      <c r="AF243" s="430"/>
      <c r="AG243" s="430"/>
      <c r="AH243" s="181"/>
      <c r="AI243" s="194">
        <f>IF(COUNTA(SalCommune[[#This Row],[N°]:[heures annuelles
selon contrat(s)]])=0,"",REVEX!$E$9)</f>
        <v>0</v>
      </c>
      <c r="AJ243" s="72" t="str">
        <f>IF(SalCommune[[#This Row],[Allocations fonctions]]="","",IF(ISNA(VLOOKUP(SalCommune[[#This Row],[Allocations fonctions]],DROPDOWN[Dropdown82],1,FALSE))=TRUE,"&lt;-- Veuillez choisir l'allocation parmis la liste déroulante.",""))</f>
        <v/>
      </c>
    </row>
    <row r="244" spans="1:36" x14ac:dyDescent="0.25">
      <c r="A244" s="72" t="str">
        <f>IF(SalCommune[[#This Row],[Statut]]="","",IF(ISNA(VLOOKUP(SalCommune[[#This Row],[Statut]],'Grille communale'!$B$3:$B$5,1,FALSE))=TRUE,"Veuillez choisir le statut parmis la liste déroulante",""))</f>
        <v/>
      </c>
      <c r="B244" s="725" t="str">
        <f>IF(SalCommune[[#This Row],[Matricule]]="","",MAX($B$7:B243)+1)</f>
        <v/>
      </c>
      <c r="C244" s="8"/>
      <c r="D244" s="8"/>
      <c r="E244" s="20"/>
      <c r="F244" s="8"/>
      <c r="G244" s="8"/>
      <c r="H244" s="9"/>
      <c r="I244" s="9"/>
      <c r="J244" s="9"/>
      <c r="K244" s="10"/>
      <c r="L244" s="10"/>
      <c r="M244" s="9"/>
      <c r="N244" s="9"/>
      <c r="O244" s="9"/>
      <c r="P24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4" s="9"/>
      <c r="R244" s="9"/>
      <c r="S244" s="9"/>
      <c r="T244" s="37"/>
      <c r="U244" s="37"/>
      <c r="V244" s="37"/>
      <c r="W244" s="37"/>
      <c r="X244" s="37"/>
      <c r="Y244" s="37"/>
      <c r="Z24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4" s="37"/>
      <c r="AB244" s="66" t="str">
        <f>IF(COUNTA(SalCommune[[#This Row],[Nom]:[heures annuelles
selon contrat(s)]])=0,"",SalCommune[[#This Row],[Total global]]-ABS(SalCommune[[#This Row],[Dont non opposable]]))</f>
        <v/>
      </c>
      <c r="AC244" s="8"/>
      <c r="AD244" s="63"/>
      <c r="AE244" s="430"/>
      <c r="AF244" s="430"/>
      <c r="AG244" s="430"/>
      <c r="AH244" s="181"/>
      <c r="AI244" s="194">
        <f>IF(COUNTA(SalCommune[[#This Row],[N°]:[heures annuelles
selon contrat(s)]])=0,"",REVEX!$E$9)</f>
        <v>0</v>
      </c>
      <c r="AJ244" s="72" t="str">
        <f>IF(SalCommune[[#This Row],[Allocations fonctions]]="","",IF(ISNA(VLOOKUP(SalCommune[[#This Row],[Allocations fonctions]],DROPDOWN[Dropdown82],1,FALSE))=TRUE,"&lt;-- Veuillez choisir l'allocation parmis la liste déroulante.",""))</f>
        <v/>
      </c>
    </row>
    <row r="245" spans="1:36" x14ac:dyDescent="0.25">
      <c r="A245" s="72" t="str">
        <f>IF(SalCommune[[#This Row],[Statut]]="","",IF(ISNA(VLOOKUP(SalCommune[[#This Row],[Statut]],'Grille communale'!$B$3:$B$5,1,FALSE))=TRUE,"Veuillez choisir le statut parmis la liste déroulante",""))</f>
        <v/>
      </c>
      <c r="B245" s="725" t="str">
        <f>IF(SalCommune[[#This Row],[Matricule]]="","",MAX($B$7:B244)+1)</f>
        <v/>
      </c>
      <c r="C245" s="8"/>
      <c r="D245" s="8"/>
      <c r="E245" s="20"/>
      <c r="F245" s="8"/>
      <c r="G245" s="8"/>
      <c r="H245" s="9"/>
      <c r="I245" s="9"/>
      <c r="J245" s="9"/>
      <c r="K245" s="10"/>
      <c r="L245" s="10"/>
      <c r="M245" s="9"/>
      <c r="N245" s="9"/>
      <c r="O245" s="9"/>
      <c r="P24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5" s="9"/>
      <c r="R245" s="9"/>
      <c r="S245" s="9"/>
      <c r="T245" s="37"/>
      <c r="U245" s="37"/>
      <c r="V245" s="37"/>
      <c r="W245" s="37"/>
      <c r="X245" s="37"/>
      <c r="Y245" s="37"/>
      <c r="Z24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5" s="37"/>
      <c r="AB245" s="66" t="str">
        <f>IF(COUNTA(SalCommune[[#This Row],[Nom]:[heures annuelles
selon contrat(s)]])=0,"",SalCommune[[#This Row],[Total global]]-ABS(SalCommune[[#This Row],[Dont non opposable]]))</f>
        <v/>
      </c>
      <c r="AC245" s="8"/>
      <c r="AD245" s="63"/>
      <c r="AE245" s="430"/>
      <c r="AF245" s="430"/>
      <c r="AG245" s="430"/>
      <c r="AH245" s="181"/>
      <c r="AI245" s="194">
        <f>IF(COUNTA(SalCommune[[#This Row],[N°]:[heures annuelles
selon contrat(s)]])=0,"",REVEX!$E$9)</f>
        <v>0</v>
      </c>
      <c r="AJ245" s="72" t="str">
        <f>IF(SalCommune[[#This Row],[Allocations fonctions]]="","",IF(ISNA(VLOOKUP(SalCommune[[#This Row],[Allocations fonctions]],DROPDOWN[Dropdown82],1,FALSE))=TRUE,"&lt;-- Veuillez choisir l'allocation parmis la liste déroulante.",""))</f>
        <v/>
      </c>
    </row>
    <row r="246" spans="1:36" x14ac:dyDescent="0.25">
      <c r="A246" s="72" t="str">
        <f>IF(SalCommune[[#This Row],[Statut]]="","",IF(ISNA(VLOOKUP(SalCommune[[#This Row],[Statut]],'Grille communale'!$B$3:$B$5,1,FALSE))=TRUE,"Veuillez choisir le statut parmis la liste déroulante",""))</f>
        <v/>
      </c>
      <c r="B246" s="725" t="str">
        <f>IF(SalCommune[[#This Row],[Matricule]]="","",MAX($B$7:B245)+1)</f>
        <v/>
      </c>
      <c r="C246" s="8"/>
      <c r="D246" s="8"/>
      <c r="E246" s="20"/>
      <c r="F246" s="8"/>
      <c r="G246" s="8"/>
      <c r="H246" s="9"/>
      <c r="I246" s="9"/>
      <c r="J246" s="9"/>
      <c r="K246" s="10"/>
      <c r="L246" s="10"/>
      <c r="M246" s="9"/>
      <c r="N246" s="9"/>
      <c r="O246" s="9"/>
      <c r="P24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6" s="9"/>
      <c r="R246" s="9"/>
      <c r="S246" s="9"/>
      <c r="T246" s="37"/>
      <c r="U246" s="37"/>
      <c r="V246" s="37"/>
      <c r="W246" s="37"/>
      <c r="X246" s="37"/>
      <c r="Y246" s="37"/>
      <c r="Z24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6" s="37"/>
      <c r="AB246" s="66" t="str">
        <f>IF(COUNTA(SalCommune[[#This Row],[Nom]:[heures annuelles
selon contrat(s)]])=0,"",SalCommune[[#This Row],[Total global]]-ABS(SalCommune[[#This Row],[Dont non opposable]]))</f>
        <v/>
      </c>
      <c r="AC246" s="8"/>
      <c r="AD246" s="63"/>
      <c r="AE246" s="430"/>
      <c r="AF246" s="430"/>
      <c r="AG246" s="430"/>
      <c r="AH246" s="181"/>
      <c r="AI246" s="194">
        <f>IF(COUNTA(SalCommune[[#This Row],[N°]:[heures annuelles
selon contrat(s)]])=0,"",REVEX!$E$9)</f>
        <v>0</v>
      </c>
      <c r="AJ246" s="72" t="str">
        <f>IF(SalCommune[[#This Row],[Allocations fonctions]]="","",IF(ISNA(VLOOKUP(SalCommune[[#This Row],[Allocations fonctions]],DROPDOWN[Dropdown82],1,FALSE))=TRUE,"&lt;-- Veuillez choisir l'allocation parmis la liste déroulante.",""))</f>
        <v/>
      </c>
    </row>
    <row r="247" spans="1:36" x14ac:dyDescent="0.25">
      <c r="A247" s="72" t="str">
        <f>IF(SalCommune[[#This Row],[Statut]]="","",IF(ISNA(VLOOKUP(SalCommune[[#This Row],[Statut]],'Grille communale'!$B$3:$B$5,1,FALSE))=TRUE,"Veuillez choisir le statut parmis la liste déroulante",""))</f>
        <v/>
      </c>
      <c r="B247" s="725" t="str">
        <f>IF(SalCommune[[#This Row],[Matricule]]="","",MAX($B$7:B246)+1)</f>
        <v/>
      </c>
      <c r="C247" s="8"/>
      <c r="D247" s="8"/>
      <c r="E247" s="20"/>
      <c r="F247" s="8"/>
      <c r="G247" s="8"/>
      <c r="H247" s="9"/>
      <c r="I247" s="9"/>
      <c r="J247" s="9"/>
      <c r="K247" s="10"/>
      <c r="L247" s="10"/>
      <c r="M247" s="9"/>
      <c r="N247" s="9"/>
      <c r="O247" s="9"/>
      <c r="P24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7" s="9"/>
      <c r="R247" s="9"/>
      <c r="S247" s="9"/>
      <c r="T247" s="37"/>
      <c r="U247" s="37"/>
      <c r="V247" s="37"/>
      <c r="W247" s="37"/>
      <c r="X247" s="37"/>
      <c r="Y247" s="37"/>
      <c r="Z24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7" s="37"/>
      <c r="AB247" s="66" t="str">
        <f>IF(COUNTA(SalCommune[[#This Row],[Nom]:[heures annuelles
selon contrat(s)]])=0,"",SalCommune[[#This Row],[Total global]]-ABS(SalCommune[[#This Row],[Dont non opposable]]))</f>
        <v/>
      </c>
      <c r="AC247" s="8"/>
      <c r="AD247" s="63"/>
      <c r="AE247" s="430"/>
      <c r="AF247" s="430"/>
      <c r="AG247" s="430"/>
      <c r="AH247" s="181"/>
      <c r="AI247" s="194">
        <f>IF(COUNTA(SalCommune[[#This Row],[N°]:[heures annuelles
selon contrat(s)]])=0,"",REVEX!$E$9)</f>
        <v>0</v>
      </c>
      <c r="AJ247" s="72" t="str">
        <f>IF(SalCommune[[#This Row],[Allocations fonctions]]="","",IF(ISNA(VLOOKUP(SalCommune[[#This Row],[Allocations fonctions]],DROPDOWN[Dropdown82],1,FALSE))=TRUE,"&lt;-- Veuillez choisir l'allocation parmis la liste déroulante.",""))</f>
        <v/>
      </c>
    </row>
    <row r="248" spans="1:36" x14ac:dyDescent="0.25">
      <c r="A248" s="72" t="str">
        <f>IF(SalCommune[[#This Row],[Statut]]="","",IF(ISNA(VLOOKUP(SalCommune[[#This Row],[Statut]],'Grille communale'!$B$3:$B$5,1,FALSE))=TRUE,"Veuillez choisir le statut parmis la liste déroulante",""))</f>
        <v/>
      </c>
      <c r="B248" s="725" t="str">
        <f>IF(SalCommune[[#This Row],[Matricule]]="","",MAX($B$7:B247)+1)</f>
        <v/>
      </c>
      <c r="C248" s="8"/>
      <c r="D248" s="8"/>
      <c r="E248" s="20"/>
      <c r="F248" s="8"/>
      <c r="G248" s="8"/>
      <c r="H248" s="9"/>
      <c r="I248" s="9"/>
      <c r="J248" s="9"/>
      <c r="K248" s="10"/>
      <c r="L248" s="10"/>
      <c r="M248" s="9"/>
      <c r="N248" s="9"/>
      <c r="O248" s="9"/>
      <c r="P24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8" s="9"/>
      <c r="R248" s="9"/>
      <c r="S248" s="9"/>
      <c r="T248" s="37"/>
      <c r="U248" s="37"/>
      <c r="V248" s="37"/>
      <c r="W248" s="37"/>
      <c r="X248" s="37"/>
      <c r="Y248" s="37"/>
      <c r="Z24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8" s="37"/>
      <c r="AB248" s="66" t="str">
        <f>IF(COUNTA(SalCommune[[#This Row],[Nom]:[heures annuelles
selon contrat(s)]])=0,"",SalCommune[[#This Row],[Total global]]-ABS(SalCommune[[#This Row],[Dont non opposable]]))</f>
        <v/>
      </c>
      <c r="AC248" s="8"/>
      <c r="AD248" s="63"/>
      <c r="AE248" s="430"/>
      <c r="AF248" s="430"/>
      <c r="AG248" s="430"/>
      <c r="AH248" s="181"/>
      <c r="AI248" s="194">
        <f>IF(COUNTA(SalCommune[[#This Row],[N°]:[heures annuelles
selon contrat(s)]])=0,"",REVEX!$E$9)</f>
        <v>0</v>
      </c>
      <c r="AJ248" s="72" t="str">
        <f>IF(SalCommune[[#This Row],[Allocations fonctions]]="","",IF(ISNA(VLOOKUP(SalCommune[[#This Row],[Allocations fonctions]],DROPDOWN[Dropdown82],1,FALSE))=TRUE,"&lt;-- Veuillez choisir l'allocation parmis la liste déroulante.",""))</f>
        <v/>
      </c>
    </row>
    <row r="249" spans="1:36" x14ac:dyDescent="0.25">
      <c r="A249" s="72" t="str">
        <f>IF(SalCommune[[#This Row],[Statut]]="","",IF(ISNA(VLOOKUP(SalCommune[[#This Row],[Statut]],'Grille communale'!$B$3:$B$5,1,FALSE))=TRUE,"Veuillez choisir le statut parmis la liste déroulante",""))</f>
        <v/>
      </c>
      <c r="B249" s="725" t="str">
        <f>IF(SalCommune[[#This Row],[Matricule]]="","",MAX($B$7:B248)+1)</f>
        <v/>
      </c>
      <c r="C249" s="8"/>
      <c r="D249" s="8"/>
      <c r="E249" s="20"/>
      <c r="F249" s="8"/>
      <c r="G249" s="8"/>
      <c r="H249" s="9"/>
      <c r="I249" s="9"/>
      <c r="J249" s="9"/>
      <c r="K249" s="10"/>
      <c r="L249" s="10"/>
      <c r="M249" s="9"/>
      <c r="N249" s="9"/>
      <c r="O249" s="9"/>
      <c r="P24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49" s="9"/>
      <c r="R249" s="9"/>
      <c r="S249" s="9"/>
      <c r="T249" s="37"/>
      <c r="U249" s="37"/>
      <c r="V249" s="37"/>
      <c r="W249" s="37"/>
      <c r="X249" s="37"/>
      <c r="Y249" s="37"/>
      <c r="Z24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49" s="37"/>
      <c r="AB249" s="66" t="str">
        <f>IF(COUNTA(SalCommune[[#This Row],[Nom]:[heures annuelles
selon contrat(s)]])=0,"",SalCommune[[#This Row],[Total global]]-ABS(SalCommune[[#This Row],[Dont non opposable]]))</f>
        <v/>
      </c>
      <c r="AC249" s="8"/>
      <c r="AD249" s="63"/>
      <c r="AE249" s="430"/>
      <c r="AF249" s="430"/>
      <c r="AG249" s="430"/>
      <c r="AH249" s="181"/>
      <c r="AI249" s="194">
        <f>IF(COUNTA(SalCommune[[#This Row],[N°]:[heures annuelles
selon contrat(s)]])=0,"",REVEX!$E$9)</f>
        <v>0</v>
      </c>
      <c r="AJ249" s="72" t="str">
        <f>IF(SalCommune[[#This Row],[Allocations fonctions]]="","",IF(ISNA(VLOOKUP(SalCommune[[#This Row],[Allocations fonctions]],DROPDOWN[Dropdown82],1,FALSE))=TRUE,"&lt;-- Veuillez choisir l'allocation parmis la liste déroulante.",""))</f>
        <v/>
      </c>
    </row>
    <row r="250" spans="1:36" x14ac:dyDescent="0.25">
      <c r="A250" s="72" t="str">
        <f>IF(SalCommune[[#This Row],[Statut]]="","",IF(ISNA(VLOOKUP(SalCommune[[#This Row],[Statut]],'Grille communale'!$B$3:$B$5,1,FALSE))=TRUE,"Veuillez choisir le statut parmis la liste déroulante",""))</f>
        <v/>
      </c>
      <c r="B250" s="725" t="str">
        <f>IF(SalCommune[[#This Row],[Matricule]]="","",MAX($B$7:B249)+1)</f>
        <v/>
      </c>
      <c r="C250" s="8"/>
      <c r="D250" s="8"/>
      <c r="E250" s="20"/>
      <c r="F250" s="8"/>
      <c r="G250" s="8"/>
      <c r="H250" s="9"/>
      <c r="I250" s="9"/>
      <c r="J250" s="9"/>
      <c r="K250" s="10"/>
      <c r="L250" s="10"/>
      <c r="M250" s="9"/>
      <c r="N250" s="9"/>
      <c r="O250" s="9"/>
      <c r="P25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0" s="9"/>
      <c r="R250" s="9"/>
      <c r="S250" s="9"/>
      <c r="T250" s="37"/>
      <c r="U250" s="37"/>
      <c r="V250" s="37"/>
      <c r="W250" s="37"/>
      <c r="X250" s="37"/>
      <c r="Y250" s="37"/>
      <c r="Z25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0" s="37"/>
      <c r="AB250" s="66" t="str">
        <f>IF(COUNTA(SalCommune[[#This Row],[Nom]:[heures annuelles
selon contrat(s)]])=0,"",SalCommune[[#This Row],[Total global]]-ABS(SalCommune[[#This Row],[Dont non opposable]]))</f>
        <v/>
      </c>
      <c r="AC250" s="8"/>
      <c r="AD250" s="63"/>
      <c r="AE250" s="430"/>
      <c r="AF250" s="430"/>
      <c r="AG250" s="430"/>
      <c r="AH250" s="181"/>
      <c r="AI250" s="194">
        <f>IF(COUNTA(SalCommune[[#This Row],[N°]:[heures annuelles
selon contrat(s)]])=0,"",REVEX!$E$9)</f>
        <v>0</v>
      </c>
      <c r="AJ250" s="72" t="str">
        <f>IF(SalCommune[[#This Row],[Allocations fonctions]]="","",IF(ISNA(VLOOKUP(SalCommune[[#This Row],[Allocations fonctions]],DROPDOWN[Dropdown82],1,FALSE))=TRUE,"&lt;-- Veuillez choisir l'allocation parmis la liste déroulante.",""))</f>
        <v/>
      </c>
    </row>
    <row r="251" spans="1:36" x14ac:dyDescent="0.25">
      <c r="A251" s="72" t="str">
        <f>IF(SalCommune[[#This Row],[Statut]]="","",IF(ISNA(VLOOKUP(SalCommune[[#This Row],[Statut]],'Grille communale'!$B$3:$B$5,1,FALSE))=TRUE,"Veuillez choisir le statut parmis la liste déroulante",""))</f>
        <v/>
      </c>
      <c r="B251" s="725" t="str">
        <f>IF(SalCommune[[#This Row],[Matricule]]="","",MAX($B$7:B250)+1)</f>
        <v/>
      </c>
      <c r="C251" s="8"/>
      <c r="D251" s="8"/>
      <c r="E251" s="20"/>
      <c r="F251" s="8"/>
      <c r="G251" s="8"/>
      <c r="H251" s="9"/>
      <c r="I251" s="9"/>
      <c r="J251" s="9"/>
      <c r="K251" s="10"/>
      <c r="L251" s="10"/>
      <c r="M251" s="9"/>
      <c r="N251" s="9"/>
      <c r="O251" s="9"/>
      <c r="P25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1" s="9"/>
      <c r="R251" s="9"/>
      <c r="S251" s="9"/>
      <c r="T251" s="37"/>
      <c r="U251" s="37"/>
      <c r="V251" s="37"/>
      <c r="W251" s="37"/>
      <c r="X251" s="37"/>
      <c r="Y251" s="37"/>
      <c r="Z25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1" s="37"/>
      <c r="AB251" s="66" t="str">
        <f>IF(COUNTA(SalCommune[[#This Row],[Nom]:[heures annuelles
selon contrat(s)]])=0,"",SalCommune[[#This Row],[Total global]]-ABS(SalCommune[[#This Row],[Dont non opposable]]))</f>
        <v/>
      </c>
      <c r="AC251" s="8"/>
      <c r="AD251" s="63"/>
      <c r="AE251" s="430"/>
      <c r="AF251" s="430"/>
      <c r="AG251" s="430"/>
      <c r="AH251" s="181"/>
      <c r="AI251" s="194">
        <f>IF(COUNTA(SalCommune[[#This Row],[N°]:[heures annuelles
selon contrat(s)]])=0,"",REVEX!$E$9)</f>
        <v>0</v>
      </c>
      <c r="AJ251" s="72" t="str">
        <f>IF(SalCommune[[#This Row],[Allocations fonctions]]="","",IF(ISNA(VLOOKUP(SalCommune[[#This Row],[Allocations fonctions]],DROPDOWN[Dropdown82],1,FALSE))=TRUE,"&lt;-- Veuillez choisir l'allocation parmis la liste déroulante.",""))</f>
        <v/>
      </c>
    </row>
    <row r="252" spans="1:36" x14ac:dyDescent="0.25">
      <c r="A252" s="72" t="str">
        <f>IF(SalCommune[[#This Row],[Statut]]="","",IF(ISNA(VLOOKUP(SalCommune[[#This Row],[Statut]],'Grille communale'!$B$3:$B$5,1,FALSE))=TRUE,"Veuillez choisir le statut parmis la liste déroulante",""))</f>
        <v/>
      </c>
      <c r="B252" s="725" t="str">
        <f>IF(SalCommune[[#This Row],[Matricule]]="","",MAX($B$7:B251)+1)</f>
        <v/>
      </c>
      <c r="C252" s="8"/>
      <c r="D252" s="8"/>
      <c r="E252" s="20"/>
      <c r="F252" s="8"/>
      <c r="G252" s="8"/>
      <c r="H252" s="9"/>
      <c r="I252" s="9"/>
      <c r="J252" s="9"/>
      <c r="K252" s="10"/>
      <c r="L252" s="10"/>
      <c r="M252" s="9"/>
      <c r="N252" s="9"/>
      <c r="O252" s="9"/>
      <c r="P25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2" s="9"/>
      <c r="R252" s="9"/>
      <c r="S252" s="9"/>
      <c r="T252" s="37"/>
      <c r="U252" s="37"/>
      <c r="V252" s="37"/>
      <c r="W252" s="37"/>
      <c r="X252" s="37"/>
      <c r="Y252" s="37"/>
      <c r="Z25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2" s="37"/>
      <c r="AB252" s="66" t="str">
        <f>IF(COUNTA(SalCommune[[#This Row],[Nom]:[heures annuelles
selon contrat(s)]])=0,"",SalCommune[[#This Row],[Total global]]-ABS(SalCommune[[#This Row],[Dont non opposable]]))</f>
        <v/>
      </c>
      <c r="AC252" s="8"/>
      <c r="AD252" s="63"/>
      <c r="AE252" s="430"/>
      <c r="AF252" s="430"/>
      <c r="AG252" s="430"/>
      <c r="AH252" s="181"/>
      <c r="AI252" s="194">
        <f>IF(COUNTA(SalCommune[[#This Row],[N°]:[heures annuelles
selon contrat(s)]])=0,"",REVEX!$E$9)</f>
        <v>0</v>
      </c>
      <c r="AJ252" s="72" t="str">
        <f>IF(SalCommune[[#This Row],[Allocations fonctions]]="","",IF(ISNA(VLOOKUP(SalCommune[[#This Row],[Allocations fonctions]],DROPDOWN[Dropdown82],1,FALSE))=TRUE,"&lt;-- Veuillez choisir l'allocation parmis la liste déroulante.",""))</f>
        <v/>
      </c>
    </row>
    <row r="253" spans="1:36" x14ac:dyDescent="0.25">
      <c r="A253" s="72" t="str">
        <f>IF(SalCommune[[#This Row],[Statut]]="","",IF(ISNA(VLOOKUP(SalCommune[[#This Row],[Statut]],'Grille communale'!$B$3:$B$5,1,FALSE))=TRUE,"Veuillez choisir le statut parmis la liste déroulante",""))</f>
        <v/>
      </c>
      <c r="B253" s="725" t="str">
        <f>IF(SalCommune[[#This Row],[Matricule]]="","",MAX($B$7:B252)+1)</f>
        <v/>
      </c>
      <c r="C253" s="8"/>
      <c r="D253" s="8"/>
      <c r="E253" s="20"/>
      <c r="F253" s="8"/>
      <c r="G253" s="8"/>
      <c r="H253" s="9"/>
      <c r="I253" s="9"/>
      <c r="J253" s="9"/>
      <c r="K253" s="10"/>
      <c r="L253" s="10"/>
      <c r="M253" s="9"/>
      <c r="N253" s="9"/>
      <c r="O253" s="9"/>
      <c r="P25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3" s="9"/>
      <c r="R253" s="9"/>
      <c r="S253" s="9"/>
      <c r="T253" s="37"/>
      <c r="U253" s="37"/>
      <c r="V253" s="37"/>
      <c r="W253" s="37"/>
      <c r="X253" s="37"/>
      <c r="Y253" s="37"/>
      <c r="Z25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3" s="37"/>
      <c r="AB253" s="66" t="str">
        <f>IF(COUNTA(SalCommune[[#This Row],[Nom]:[heures annuelles
selon contrat(s)]])=0,"",SalCommune[[#This Row],[Total global]]-ABS(SalCommune[[#This Row],[Dont non opposable]]))</f>
        <v/>
      </c>
      <c r="AC253" s="8"/>
      <c r="AD253" s="63"/>
      <c r="AE253" s="430"/>
      <c r="AF253" s="430"/>
      <c r="AG253" s="430"/>
      <c r="AH253" s="181"/>
      <c r="AI253" s="194">
        <f>IF(COUNTA(SalCommune[[#This Row],[N°]:[heures annuelles
selon contrat(s)]])=0,"",REVEX!$E$9)</f>
        <v>0</v>
      </c>
      <c r="AJ253" s="72" t="str">
        <f>IF(SalCommune[[#This Row],[Allocations fonctions]]="","",IF(ISNA(VLOOKUP(SalCommune[[#This Row],[Allocations fonctions]],DROPDOWN[Dropdown82],1,FALSE))=TRUE,"&lt;-- Veuillez choisir l'allocation parmis la liste déroulante.",""))</f>
        <v/>
      </c>
    </row>
    <row r="254" spans="1:36" x14ac:dyDescent="0.25">
      <c r="A254" s="72" t="str">
        <f>IF(SalCommune[[#This Row],[Statut]]="","",IF(ISNA(VLOOKUP(SalCommune[[#This Row],[Statut]],'Grille communale'!$B$3:$B$5,1,FALSE))=TRUE,"Veuillez choisir le statut parmis la liste déroulante",""))</f>
        <v/>
      </c>
      <c r="B254" s="725" t="str">
        <f>IF(SalCommune[[#This Row],[Matricule]]="","",MAX($B$7:B253)+1)</f>
        <v/>
      </c>
      <c r="C254" s="8"/>
      <c r="D254" s="8"/>
      <c r="E254" s="20"/>
      <c r="F254" s="8"/>
      <c r="G254" s="8"/>
      <c r="H254" s="9"/>
      <c r="I254" s="9"/>
      <c r="J254" s="9"/>
      <c r="K254" s="10"/>
      <c r="L254" s="10"/>
      <c r="M254" s="9"/>
      <c r="N254" s="9"/>
      <c r="O254" s="9"/>
      <c r="P25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4" s="9"/>
      <c r="R254" s="9"/>
      <c r="S254" s="9"/>
      <c r="T254" s="37"/>
      <c r="U254" s="37"/>
      <c r="V254" s="37"/>
      <c r="W254" s="37"/>
      <c r="X254" s="37"/>
      <c r="Y254" s="37"/>
      <c r="Z25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4" s="37"/>
      <c r="AB254" s="66" t="str">
        <f>IF(COUNTA(SalCommune[[#This Row],[Nom]:[heures annuelles
selon contrat(s)]])=0,"",SalCommune[[#This Row],[Total global]]-ABS(SalCommune[[#This Row],[Dont non opposable]]))</f>
        <v/>
      </c>
      <c r="AC254" s="8"/>
      <c r="AD254" s="63"/>
      <c r="AE254" s="430"/>
      <c r="AF254" s="430"/>
      <c r="AG254" s="430"/>
      <c r="AH254" s="181"/>
      <c r="AI254" s="194">
        <f>IF(COUNTA(SalCommune[[#This Row],[N°]:[heures annuelles
selon contrat(s)]])=0,"",REVEX!$E$9)</f>
        <v>0</v>
      </c>
      <c r="AJ254" s="72" t="str">
        <f>IF(SalCommune[[#This Row],[Allocations fonctions]]="","",IF(ISNA(VLOOKUP(SalCommune[[#This Row],[Allocations fonctions]],DROPDOWN[Dropdown82],1,FALSE))=TRUE,"&lt;-- Veuillez choisir l'allocation parmis la liste déroulante.",""))</f>
        <v/>
      </c>
    </row>
    <row r="255" spans="1:36" x14ac:dyDescent="0.25">
      <c r="A255" s="72" t="str">
        <f>IF(SalCommune[[#This Row],[Statut]]="","",IF(ISNA(VLOOKUP(SalCommune[[#This Row],[Statut]],'Grille communale'!$B$3:$B$5,1,FALSE))=TRUE,"Veuillez choisir le statut parmis la liste déroulante",""))</f>
        <v/>
      </c>
      <c r="B255" s="725" t="str">
        <f>IF(SalCommune[[#This Row],[Matricule]]="","",MAX($B$7:B254)+1)</f>
        <v/>
      </c>
      <c r="C255" s="8"/>
      <c r="D255" s="8"/>
      <c r="E255" s="20"/>
      <c r="F255" s="8"/>
      <c r="G255" s="8"/>
      <c r="H255" s="9"/>
      <c r="I255" s="9"/>
      <c r="J255" s="9"/>
      <c r="K255" s="10"/>
      <c r="L255" s="10"/>
      <c r="M255" s="9"/>
      <c r="N255" s="9"/>
      <c r="O255" s="9"/>
      <c r="P25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5" s="9"/>
      <c r="R255" s="9"/>
      <c r="S255" s="9"/>
      <c r="T255" s="37"/>
      <c r="U255" s="37"/>
      <c r="V255" s="37"/>
      <c r="W255" s="37"/>
      <c r="X255" s="37"/>
      <c r="Y255" s="37"/>
      <c r="Z25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5" s="37"/>
      <c r="AB255" s="66" t="str">
        <f>IF(COUNTA(SalCommune[[#This Row],[Nom]:[heures annuelles
selon contrat(s)]])=0,"",SalCommune[[#This Row],[Total global]]-ABS(SalCommune[[#This Row],[Dont non opposable]]))</f>
        <v/>
      </c>
      <c r="AC255" s="8"/>
      <c r="AD255" s="63"/>
      <c r="AE255" s="430"/>
      <c r="AF255" s="430"/>
      <c r="AG255" s="430"/>
      <c r="AH255" s="181"/>
      <c r="AI255" s="194">
        <f>IF(COUNTA(SalCommune[[#This Row],[N°]:[heures annuelles
selon contrat(s)]])=0,"",REVEX!$E$9)</f>
        <v>0</v>
      </c>
      <c r="AJ255" s="72" t="str">
        <f>IF(SalCommune[[#This Row],[Allocations fonctions]]="","",IF(ISNA(VLOOKUP(SalCommune[[#This Row],[Allocations fonctions]],DROPDOWN[Dropdown82],1,FALSE))=TRUE,"&lt;-- Veuillez choisir l'allocation parmis la liste déroulante.",""))</f>
        <v/>
      </c>
    </row>
    <row r="256" spans="1:36" x14ac:dyDescent="0.25">
      <c r="A256" s="72" t="str">
        <f>IF(SalCommune[[#This Row],[Statut]]="","",IF(ISNA(VLOOKUP(SalCommune[[#This Row],[Statut]],'Grille communale'!$B$3:$B$5,1,FALSE))=TRUE,"Veuillez choisir le statut parmis la liste déroulante",""))</f>
        <v/>
      </c>
      <c r="B256" s="725" t="str">
        <f>IF(SalCommune[[#This Row],[Matricule]]="","",MAX($B$7:B255)+1)</f>
        <v/>
      </c>
      <c r="C256" s="8"/>
      <c r="D256" s="8"/>
      <c r="E256" s="20"/>
      <c r="F256" s="8"/>
      <c r="G256" s="8"/>
      <c r="H256" s="9"/>
      <c r="I256" s="9"/>
      <c r="J256" s="9"/>
      <c r="K256" s="10"/>
      <c r="L256" s="10"/>
      <c r="M256" s="9"/>
      <c r="N256" s="9"/>
      <c r="O256" s="9"/>
      <c r="P25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6" s="9"/>
      <c r="R256" s="9"/>
      <c r="S256" s="9"/>
      <c r="T256" s="37"/>
      <c r="U256" s="37"/>
      <c r="V256" s="37"/>
      <c r="W256" s="37"/>
      <c r="X256" s="37"/>
      <c r="Y256" s="37"/>
      <c r="Z25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6" s="37"/>
      <c r="AB256" s="66" t="str">
        <f>IF(COUNTA(SalCommune[[#This Row],[Nom]:[heures annuelles
selon contrat(s)]])=0,"",SalCommune[[#This Row],[Total global]]-ABS(SalCommune[[#This Row],[Dont non opposable]]))</f>
        <v/>
      </c>
      <c r="AC256" s="8"/>
      <c r="AD256" s="63"/>
      <c r="AE256" s="430"/>
      <c r="AF256" s="430"/>
      <c r="AG256" s="430"/>
      <c r="AH256" s="181"/>
      <c r="AI256" s="194">
        <f>IF(COUNTA(SalCommune[[#This Row],[N°]:[heures annuelles
selon contrat(s)]])=0,"",REVEX!$E$9)</f>
        <v>0</v>
      </c>
      <c r="AJ256" s="72" t="str">
        <f>IF(SalCommune[[#This Row],[Allocations fonctions]]="","",IF(ISNA(VLOOKUP(SalCommune[[#This Row],[Allocations fonctions]],DROPDOWN[Dropdown82],1,FALSE))=TRUE,"&lt;-- Veuillez choisir l'allocation parmis la liste déroulante.",""))</f>
        <v/>
      </c>
    </row>
    <row r="257" spans="1:36" x14ac:dyDescent="0.25">
      <c r="A257" s="72" t="str">
        <f>IF(SalCommune[[#This Row],[Statut]]="","",IF(ISNA(VLOOKUP(SalCommune[[#This Row],[Statut]],'Grille communale'!$B$3:$B$5,1,FALSE))=TRUE,"Veuillez choisir le statut parmis la liste déroulante",""))</f>
        <v/>
      </c>
      <c r="B257" s="725" t="str">
        <f>IF(SalCommune[[#This Row],[Matricule]]="","",MAX($B$7:B256)+1)</f>
        <v/>
      </c>
      <c r="C257" s="8"/>
      <c r="D257" s="8"/>
      <c r="E257" s="20"/>
      <c r="F257" s="8"/>
      <c r="G257" s="8"/>
      <c r="H257" s="9"/>
      <c r="I257" s="9"/>
      <c r="J257" s="9"/>
      <c r="K257" s="10"/>
      <c r="L257" s="10"/>
      <c r="M257" s="9"/>
      <c r="N257" s="9"/>
      <c r="O257" s="9"/>
      <c r="P25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7" s="9"/>
      <c r="R257" s="9"/>
      <c r="S257" s="9"/>
      <c r="T257" s="37"/>
      <c r="U257" s="37"/>
      <c r="V257" s="37"/>
      <c r="W257" s="37"/>
      <c r="X257" s="37"/>
      <c r="Y257" s="37"/>
      <c r="Z25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7" s="37"/>
      <c r="AB257" s="66" t="str">
        <f>IF(COUNTA(SalCommune[[#This Row],[Nom]:[heures annuelles
selon contrat(s)]])=0,"",SalCommune[[#This Row],[Total global]]-ABS(SalCommune[[#This Row],[Dont non opposable]]))</f>
        <v/>
      </c>
      <c r="AC257" s="8"/>
      <c r="AD257" s="63"/>
      <c r="AE257" s="430"/>
      <c r="AF257" s="430"/>
      <c r="AG257" s="430"/>
      <c r="AH257" s="181"/>
      <c r="AI257" s="194">
        <f>IF(COUNTA(SalCommune[[#This Row],[N°]:[heures annuelles
selon contrat(s)]])=0,"",REVEX!$E$9)</f>
        <v>0</v>
      </c>
      <c r="AJ257" s="72" t="str">
        <f>IF(SalCommune[[#This Row],[Allocations fonctions]]="","",IF(ISNA(VLOOKUP(SalCommune[[#This Row],[Allocations fonctions]],DROPDOWN[Dropdown82],1,FALSE))=TRUE,"&lt;-- Veuillez choisir l'allocation parmis la liste déroulante.",""))</f>
        <v/>
      </c>
    </row>
    <row r="258" spans="1:36" x14ac:dyDescent="0.25">
      <c r="A258" s="72" t="str">
        <f>IF(SalCommune[[#This Row],[Statut]]="","",IF(ISNA(VLOOKUP(SalCommune[[#This Row],[Statut]],'Grille communale'!$B$3:$B$5,1,FALSE))=TRUE,"Veuillez choisir le statut parmis la liste déroulante",""))</f>
        <v/>
      </c>
      <c r="B258" s="725" t="str">
        <f>IF(SalCommune[[#This Row],[Matricule]]="","",MAX($B$7:B257)+1)</f>
        <v/>
      </c>
      <c r="C258" s="8"/>
      <c r="D258" s="8"/>
      <c r="E258" s="20"/>
      <c r="F258" s="8"/>
      <c r="G258" s="8"/>
      <c r="H258" s="9"/>
      <c r="I258" s="9"/>
      <c r="J258" s="9"/>
      <c r="K258" s="10"/>
      <c r="L258" s="10"/>
      <c r="M258" s="9"/>
      <c r="N258" s="9"/>
      <c r="O258" s="9"/>
      <c r="P25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8" s="9"/>
      <c r="R258" s="9"/>
      <c r="S258" s="9"/>
      <c r="T258" s="37"/>
      <c r="U258" s="37"/>
      <c r="V258" s="37"/>
      <c r="W258" s="37"/>
      <c r="X258" s="37"/>
      <c r="Y258" s="37"/>
      <c r="Z25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8" s="37"/>
      <c r="AB258" s="66" t="str">
        <f>IF(COUNTA(SalCommune[[#This Row],[Nom]:[heures annuelles
selon contrat(s)]])=0,"",SalCommune[[#This Row],[Total global]]-ABS(SalCommune[[#This Row],[Dont non opposable]]))</f>
        <v/>
      </c>
      <c r="AC258" s="8"/>
      <c r="AD258" s="63"/>
      <c r="AE258" s="430"/>
      <c r="AF258" s="430"/>
      <c r="AG258" s="430"/>
      <c r="AH258" s="181"/>
      <c r="AI258" s="194">
        <f>IF(COUNTA(SalCommune[[#This Row],[N°]:[heures annuelles
selon contrat(s)]])=0,"",REVEX!$E$9)</f>
        <v>0</v>
      </c>
      <c r="AJ258" s="72" t="str">
        <f>IF(SalCommune[[#This Row],[Allocations fonctions]]="","",IF(ISNA(VLOOKUP(SalCommune[[#This Row],[Allocations fonctions]],DROPDOWN[Dropdown82],1,FALSE))=TRUE,"&lt;-- Veuillez choisir l'allocation parmis la liste déroulante.",""))</f>
        <v/>
      </c>
    </row>
    <row r="259" spans="1:36" x14ac:dyDescent="0.25">
      <c r="A259" s="72" t="str">
        <f>IF(SalCommune[[#This Row],[Statut]]="","",IF(ISNA(VLOOKUP(SalCommune[[#This Row],[Statut]],'Grille communale'!$B$3:$B$5,1,FALSE))=TRUE,"Veuillez choisir le statut parmis la liste déroulante",""))</f>
        <v/>
      </c>
      <c r="B259" s="725" t="str">
        <f>IF(SalCommune[[#This Row],[Matricule]]="","",MAX($B$7:B258)+1)</f>
        <v/>
      </c>
      <c r="C259" s="8"/>
      <c r="D259" s="8"/>
      <c r="E259" s="20"/>
      <c r="F259" s="8"/>
      <c r="G259" s="8"/>
      <c r="H259" s="9"/>
      <c r="I259" s="9"/>
      <c r="J259" s="9"/>
      <c r="K259" s="10"/>
      <c r="L259" s="10"/>
      <c r="M259" s="9"/>
      <c r="N259" s="9"/>
      <c r="O259" s="9"/>
      <c r="P25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59" s="9"/>
      <c r="R259" s="9"/>
      <c r="S259" s="9"/>
      <c r="T259" s="37"/>
      <c r="U259" s="37"/>
      <c r="V259" s="37"/>
      <c r="W259" s="37"/>
      <c r="X259" s="37"/>
      <c r="Y259" s="37"/>
      <c r="Z25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59" s="37"/>
      <c r="AB259" s="66" t="str">
        <f>IF(COUNTA(SalCommune[[#This Row],[Nom]:[heures annuelles
selon contrat(s)]])=0,"",SalCommune[[#This Row],[Total global]]-ABS(SalCommune[[#This Row],[Dont non opposable]]))</f>
        <v/>
      </c>
      <c r="AC259" s="8"/>
      <c r="AD259" s="63"/>
      <c r="AE259" s="430"/>
      <c r="AF259" s="430"/>
      <c r="AG259" s="430"/>
      <c r="AH259" s="181"/>
      <c r="AI259" s="194">
        <f>IF(COUNTA(SalCommune[[#This Row],[N°]:[heures annuelles
selon contrat(s)]])=0,"",REVEX!$E$9)</f>
        <v>0</v>
      </c>
      <c r="AJ259" s="72" t="str">
        <f>IF(SalCommune[[#This Row],[Allocations fonctions]]="","",IF(ISNA(VLOOKUP(SalCommune[[#This Row],[Allocations fonctions]],DROPDOWN[Dropdown82],1,FALSE))=TRUE,"&lt;-- Veuillez choisir l'allocation parmis la liste déroulante.",""))</f>
        <v/>
      </c>
    </row>
    <row r="260" spans="1:36" x14ac:dyDescent="0.25">
      <c r="A260" s="72" t="str">
        <f>IF(SalCommune[[#This Row],[Statut]]="","",IF(ISNA(VLOOKUP(SalCommune[[#This Row],[Statut]],'Grille communale'!$B$3:$B$5,1,FALSE))=TRUE,"Veuillez choisir le statut parmis la liste déroulante",""))</f>
        <v/>
      </c>
      <c r="B260" s="725" t="str">
        <f>IF(SalCommune[[#This Row],[Matricule]]="","",MAX($B$7:B259)+1)</f>
        <v/>
      </c>
      <c r="C260" s="8"/>
      <c r="D260" s="8"/>
      <c r="E260" s="20"/>
      <c r="F260" s="8"/>
      <c r="G260" s="8"/>
      <c r="H260" s="9"/>
      <c r="I260" s="9"/>
      <c r="J260" s="9"/>
      <c r="K260" s="10"/>
      <c r="L260" s="10"/>
      <c r="M260" s="9"/>
      <c r="N260" s="9"/>
      <c r="O260" s="9"/>
      <c r="P26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0" s="9"/>
      <c r="R260" s="9"/>
      <c r="S260" s="9"/>
      <c r="T260" s="37"/>
      <c r="U260" s="37"/>
      <c r="V260" s="37"/>
      <c r="W260" s="37"/>
      <c r="X260" s="37"/>
      <c r="Y260" s="37"/>
      <c r="Z26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0" s="37"/>
      <c r="AB260" s="66" t="str">
        <f>IF(COUNTA(SalCommune[[#This Row],[Nom]:[heures annuelles
selon contrat(s)]])=0,"",SalCommune[[#This Row],[Total global]]-ABS(SalCommune[[#This Row],[Dont non opposable]]))</f>
        <v/>
      </c>
      <c r="AC260" s="8"/>
      <c r="AD260" s="63"/>
      <c r="AE260" s="430"/>
      <c r="AF260" s="430"/>
      <c r="AG260" s="430"/>
      <c r="AH260" s="181"/>
      <c r="AI260" s="194">
        <f>IF(COUNTA(SalCommune[[#This Row],[N°]:[heures annuelles
selon contrat(s)]])=0,"",REVEX!$E$9)</f>
        <v>0</v>
      </c>
      <c r="AJ260" s="72" t="str">
        <f>IF(SalCommune[[#This Row],[Allocations fonctions]]="","",IF(ISNA(VLOOKUP(SalCommune[[#This Row],[Allocations fonctions]],DROPDOWN[Dropdown82],1,FALSE))=TRUE,"&lt;-- Veuillez choisir l'allocation parmis la liste déroulante.",""))</f>
        <v/>
      </c>
    </row>
    <row r="261" spans="1:36" x14ac:dyDescent="0.25">
      <c r="A261" s="72" t="str">
        <f>IF(SalCommune[[#This Row],[Statut]]="","",IF(ISNA(VLOOKUP(SalCommune[[#This Row],[Statut]],'Grille communale'!$B$3:$B$5,1,FALSE))=TRUE,"Veuillez choisir le statut parmis la liste déroulante",""))</f>
        <v/>
      </c>
      <c r="B261" s="725" t="str">
        <f>IF(SalCommune[[#This Row],[Matricule]]="","",MAX($B$7:B260)+1)</f>
        <v/>
      </c>
      <c r="C261" s="8"/>
      <c r="D261" s="8"/>
      <c r="E261" s="20"/>
      <c r="F261" s="8"/>
      <c r="G261" s="8"/>
      <c r="H261" s="9"/>
      <c r="I261" s="9"/>
      <c r="J261" s="9"/>
      <c r="K261" s="10"/>
      <c r="L261" s="10"/>
      <c r="M261" s="9"/>
      <c r="N261" s="9"/>
      <c r="O261" s="9"/>
      <c r="P26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1" s="9"/>
      <c r="R261" s="9"/>
      <c r="S261" s="9"/>
      <c r="T261" s="37"/>
      <c r="U261" s="37"/>
      <c r="V261" s="37"/>
      <c r="W261" s="37"/>
      <c r="X261" s="37"/>
      <c r="Y261" s="37"/>
      <c r="Z26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1" s="37"/>
      <c r="AB261" s="66" t="str">
        <f>IF(COUNTA(SalCommune[[#This Row],[Nom]:[heures annuelles
selon contrat(s)]])=0,"",SalCommune[[#This Row],[Total global]]-ABS(SalCommune[[#This Row],[Dont non opposable]]))</f>
        <v/>
      </c>
      <c r="AC261" s="8"/>
      <c r="AD261" s="63"/>
      <c r="AE261" s="430"/>
      <c r="AF261" s="430"/>
      <c r="AG261" s="430"/>
      <c r="AH261" s="181"/>
      <c r="AI261" s="194">
        <f>IF(COUNTA(SalCommune[[#This Row],[N°]:[heures annuelles
selon contrat(s)]])=0,"",REVEX!$E$9)</f>
        <v>0</v>
      </c>
      <c r="AJ261" s="72" t="str">
        <f>IF(SalCommune[[#This Row],[Allocations fonctions]]="","",IF(ISNA(VLOOKUP(SalCommune[[#This Row],[Allocations fonctions]],DROPDOWN[Dropdown82],1,FALSE))=TRUE,"&lt;-- Veuillez choisir l'allocation parmis la liste déroulante.",""))</f>
        <v/>
      </c>
    </row>
    <row r="262" spans="1:36" x14ac:dyDescent="0.25">
      <c r="A262" s="72" t="str">
        <f>IF(SalCommune[[#This Row],[Statut]]="","",IF(ISNA(VLOOKUP(SalCommune[[#This Row],[Statut]],'Grille communale'!$B$3:$B$5,1,FALSE))=TRUE,"Veuillez choisir le statut parmis la liste déroulante",""))</f>
        <v/>
      </c>
      <c r="B262" s="725" t="str">
        <f>IF(SalCommune[[#This Row],[Matricule]]="","",MAX($B$7:B261)+1)</f>
        <v/>
      </c>
      <c r="C262" s="8"/>
      <c r="D262" s="8"/>
      <c r="E262" s="20"/>
      <c r="F262" s="8"/>
      <c r="G262" s="8"/>
      <c r="H262" s="9"/>
      <c r="I262" s="9"/>
      <c r="J262" s="9"/>
      <c r="K262" s="10"/>
      <c r="L262" s="10"/>
      <c r="M262" s="9"/>
      <c r="N262" s="9"/>
      <c r="O262" s="9"/>
      <c r="P26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2" s="9"/>
      <c r="R262" s="9"/>
      <c r="S262" s="9"/>
      <c r="T262" s="37"/>
      <c r="U262" s="37"/>
      <c r="V262" s="37"/>
      <c r="W262" s="37"/>
      <c r="X262" s="37"/>
      <c r="Y262" s="37"/>
      <c r="Z26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2" s="37"/>
      <c r="AB262" s="66" t="str">
        <f>IF(COUNTA(SalCommune[[#This Row],[Nom]:[heures annuelles
selon contrat(s)]])=0,"",SalCommune[[#This Row],[Total global]]-ABS(SalCommune[[#This Row],[Dont non opposable]]))</f>
        <v/>
      </c>
      <c r="AC262" s="8"/>
      <c r="AD262" s="63"/>
      <c r="AE262" s="430"/>
      <c r="AF262" s="430"/>
      <c r="AG262" s="430"/>
      <c r="AH262" s="181"/>
      <c r="AI262" s="194">
        <f>IF(COUNTA(SalCommune[[#This Row],[N°]:[heures annuelles
selon contrat(s)]])=0,"",REVEX!$E$9)</f>
        <v>0</v>
      </c>
      <c r="AJ262" s="72" t="str">
        <f>IF(SalCommune[[#This Row],[Allocations fonctions]]="","",IF(ISNA(VLOOKUP(SalCommune[[#This Row],[Allocations fonctions]],DROPDOWN[Dropdown82],1,FALSE))=TRUE,"&lt;-- Veuillez choisir l'allocation parmis la liste déroulante.",""))</f>
        <v/>
      </c>
    </row>
    <row r="263" spans="1:36" x14ac:dyDescent="0.25">
      <c r="A263" s="72" t="str">
        <f>IF(SalCommune[[#This Row],[Statut]]="","",IF(ISNA(VLOOKUP(SalCommune[[#This Row],[Statut]],'Grille communale'!$B$3:$B$5,1,FALSE))=TRUE,"Veuillez choisir le statut parmis la liste déroulante",""))</f>
        <v/>
      </c>
      <c r="B263" s="725" t="str">
        <f>IF(SalCommune[[#This Row],[Matricule]]="","",MAX($B$7:B262)+1)</f>
        <v/>
      </c>
      <c r="C263" s="8"/>
      <c r="D263" s="8"/>
      <c r="E263" s="20"/>
      <c r="F263" s="8"/>
      <c r="G263" s="8"/>
      <c r="H263" s="9"/>
      <c r="I263" s="9"/>
      <c r="J263" s="9"/>
      <c r="K263" s="10"/>
      <c r="L263" s="10"/>
      <c r="M263" s="9"/>
      <c r="N263" s="9"/>
      <c r="O263" s="9"/>
      <c r="P26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3" s="9"/>
      <c r="R263" s="9"/>
      <c r="S263" s="9"/>
      <c r="T263" s="37"/>
      <c r="U263" s="37"/>
      <c r="V263" s="37"/>
      <c r="W263" s="37"/>
      <c r="X263" s="37"/>
      <c r="Y263" s="37"/>
      <c r="Z26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3" s="37"/>
      <c r="AB263" s="66" t="str">
        <f>IF(COUNTA(SalCommune[[#This Row],[Nom]:[heures annuelles
selon contrat(s)]])=0,"",SalCommune[[#This Row],[Total global]]-ABS(SalCommune[[#This Row],[Dont non opposable]]))</f>
        <v/>
      </c>
      <c r="AC263" s="8"/>
      <c r="AD263" s="63"/>
      <c r="AE263" s="430"/>
      <c r="AF263" s="430"/>
      <c r="AG263" s="430"/>
      <c r="AH263" s="181"/>
      <c r="AI263" s="194">
        <f>IF(COUNTA(SalCommune[[#This Row],[N°]:[heures annuelles
selon contrat(s)]])=0,"",REVEX!$E$9)</f>
        <v>0</v>
      </c>
      <c r="AJ263" s="72" t="str">
        <f>IF(SalCommune[[#This Row],[Allocations fonctions]]="","",IF(ISNA(VLOOKUP(SalCommune[[#This Row],[Allocations fonctions]],DROPDOWN[Dropdown82],1,FALSE))=TRUE,"&lt;-- Veuillez choisir l'allocation parmis la liste déroulante.",""))</f>
        <v/>
      </c>
    </row>
    <row r="264" spans="1:36" x14ac:dyDescent="0.25">
      <c r="A264" s="72" t="str">
        <f>IF(SalCommune[[#This Row],[Statut]]="","",IF(ISNA(VLOOKUP(SalCommune[[#This Row],[Statut]],'Grille communale'!$B$3:$B$5,1,FALSE))=TRUE,"Veuillez choisir le statut parmis la liste déroulante",""))</f>
        <v/>
      </c>
      <c r="B264" s="725" t="str">
        <f>IF(SalCommune[[#This Row],[Matricule]]="","",MAX($B$7:B263)+1)</f>
        <v/>
      </c>
      <c r="C264" s="8"/>
      <c r="D264" s="8"/>
      <c r="E264" s="20"/>
      <c r="F264" s="8"/>
      <c r="G264" s="8"/>
      <c r="H264" s="9"/>
      <c r="I264" s="9"/>
      <c r="J264" s="9"/>
      <c r="K264" s="10"/>
      <c r="L264" s="10"/>
      <c r="M264" s="9"/>
      <c r="N264" s="9"/>
      <c r="O264" s="9"/>
      <c r="P26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4" s="9"/>
      <c r="R264" s="9"/>
      <c r="S264" s="9"/>
      <c r="T264" s="37"/>
      <c r="U264" s="37"/>
      <c r="V264" s="37"/>
      <c r="W264" s="37"/>
      <c r="X264" s="37"/>
      <c r="Y264" s="37"/>
      <c r="Z26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4" s="37"/>
      <c r="AB264" s="66" t="str">
        <f>IF(COUNTA(SalCommune[[#This Row],[Nom]:[heures annuelles
selon contrat(s)]])=0,"",SalCommune[[#This Row],[Total global]]-ABS(SalCommune[[#This Row],[Dont non opposable]]))</f>
        <v/>
      </c>
      <c r="AC264" s="8"/>
      <c r="AD264" s="63"/>
      <c r="AE264" s="430"/>
      <c r="AF264" s="430"/>
      <c r="AG264" s="430"/>
      <c r="AH264" s="181"/>
      <c r="AI264" s="194">
        <f>IF(COUNTA(SalCommune[[#This Row],[N°]:[heures annuelles
selon contrat(s)]])=0,"",REVEX!$E$9)</f>
        <v>0</v>
      </c>
      <c r="AJ264" s="72" t="str">
        <f>IF(SalCommune[[#This Row],[Allocations fonctions]]="","",IF(ISNA(VLOOKUP(SalCommune[[#This Row],[Allocations fonctions]],DROPDOWN[Dropdown82],1,FALSE))=TRUE,"&lt;-- Veuillez choisir l'allocation parmis la liste déroulante.",""))</f>
        <v/>
      </c>
    </row>
    <row r="265" spans="1:36" x14ac:dyDescent="0.25">
      <c r="A265" s="72" t="str">
        <f>IF(SalCommune[[#This Row],[Statut]]="","",IF(ISNA(VLOOKUP(SalCommune[[#This Row],[Statut]],'Grille communale'!$B$3:$B$5,1,FALSE))=TRUE,"Veuillez choisir le statut parmis la liste déroulante",""))</f>
        <v/>
      </c>
      <c r="B265" s="725" t="str">
        <f>IF(SalCommune[[#This Row],[Matricule]]="","",MAX($B$7:B264)+1)</f>
        <v/>
      </c>
      <c r="C265" s="8"/>
      <c r="D265" s="8"/>
      <c r="E265" s="20"/>
      <c r="F265" s="8"/>
      <c r="G265" s="8"/>
      <c r="H265" s="9"/>
      <c r="I265" s="9"/>
      <c r="J265" s="9"/>
      <c r="K265" s="10"/>
      <c r="L265" s="10"/>
      <c r="M265" s="9"/>
      <c r="N265" s="9"/>
      <c r="O265" s="9"/>
      <c r="P26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5" s="9"/>
      <c r="R265" s="9"/>
      <c r="S265" s="9"/>
      <c r="T265" s="37"/>
      <c r="U265" s="37"/>
      <c r="V265" s="37"/>
      <c r="W265" s="37"/>
      <c r="X265" s="37"/>
      <c r="Y265" s="37"/>
      <c r="Z26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5" s="37"/>
      <c r="AB265" s="66" t="str">
        <f>IF(COUNTA(SalCommune[[#This Row],[Nom]:[heures annuelles
selon contrat(s)]])=0,"",SalCommune[[#This Row],[Total global]]-ABS(SalCommune[[#This Row],[Dont non opposable]]))</f>
        <v/>
      </c>
      <c r="AC265" s="8"/>
      <c r="AD265" s="63"/>
      <c r="AE265" s="430"/>
      <c r="AF265" s="430"/>
      <c r="AG265" s="430"/>
      <c r="AH265" s="181"/>
      <c r="AI265" s="194">
        <f>IF(COUNTA(SalCommune[[#This Row],[N°]:[heures annuelles
selon contrat(s)]])=0,"",REVEX!$E$9)</f>
        <v>0</v>
      </c>
      <c r="AJ265" s="72" t="str">
        <f>IF(SalCommune[[#This Row],[Allocations fonctions]]="","",IF(ISNA(VLOOKUP(SalCommune[[#This Row],[Allocations fonctions]],DROPDOWN[Dropdown82],1,FALSE))=TRUE,"&lt;-- Veuillez choisir l'allocation parmis la liste déroulante.",""))</f>
        <v/>
      </c>
    </row>
    <row r="266" spans="1:36" x14ac:dyDescent="0.25">
      <c r="A266" s="72" t="str">
        <f>IF(SalCommune[[#This Row],[Statut]]="","",IF(ISNA(VLOOKUP(SalCommune[[#This Row],[Statut]],'Grille communale'!$B$3:$B$5,1,FALSE))=TRUE,"Veuillez choisir le statut parmis la liste déroulante",""))</f>
        <v/>
      </c>
      <c r="B266" s="725" t="str">
        <f>IF(SalCommune[[#This Row],[Matricule]]="","",MAX($B$7:B265)+1)</f>
        <v/>
      </c>
      <c r="C266" s="8"/>
      <c r="D266" s="8"/>
      <c r="E266" s="20"/>
      <c r="F266" s="8"/>
      <c r="G266" s="8"/>
      <c r="H266" s="9"/>
      <c r="I266" s="9"/>
      <c r="J266" s="9"/>
      <c r="K266" s="10"/>
      <c r="L266" s="10"/>
      <c r="M266" s="9"/>
      <c r="N266" s="9"/>
      <c r="O266" s="9"/>
      <c r="P26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6" s="9"/>
      <c r="R266" s="9"/>
      <c r="S266" s="9"/>
      <c r="T266" s="37"/>
      <c r="U266" s="37"/>
      <c r="V266" s="37"/>
      <c r="W266" s="37"/>
      <c r="X266" s="37"/>
      <c r="Y266" s="37"/>
      <c r="Z26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6" s="37"/>
      <c r="AB266" s="66" t="str">
        <f>IF(COUNTA(SalCommune[[#This Row],[Nom]:[heures annuelles
selon contrat(s)]])=0,"",SalCommune[[#This Row],[Total global]]-ABS(SalCommune[[#This Row],[Dont non opposable]]))</f>
        <v/>
      </c>
      <c r="AC266" s="8"/>
      <c r="AD266" s="63"/>
      <c r="AE266" s="430"/>
      <c r="AF266" s="430"/>
      <c r="AG266" s="430"/>
      <c r="AH266" s="181"/>
      <c r="AI266" s="194">
        <f>IF(COUNTA(SalCommune[[#This Row],[N°]:[heures annuelles
selon contrat(s)]])=0,"",REVEX!$E$9)</f>
        <v>0</v>
      </c>
      <c r="AJ266" s="72" t="str">
        <f>IF(SalCommune[[#This Row],[Allocations fonctions]]="","",IF(ISNA(VLOOKUP(SalCommune[[#This Row],[Allocations fonctions]],DROPDOWN[Dropdown82],1,FALSE))=TRUE,"&lt;-- Veuillez choisir l'allocation parmis la liste déroulante.",""))</f>
        <v/>
      </c>
    </row>
    <row r="267" spans="1:36" x14ac:dyDescent="0.25">
      <c r="A267" s="72" t="str">
        <f>IF(SalCommune[[#This Row],[Statut]]="","",IF(ISNA(VLOOKUP(SalCommune[[#This Row],[Statut]],'Grille communale'!$B$3:$B$5,1,FALSE))=TRUE,"Veuillez choisir le statut parmis la liste déroulante",""))</f>
        <v/>
      </c>
      <c r="B267" s="725" t="str">
        <f>IF(SalCommune[[#This Row],[Matricule]]="","",MAX($B$7:B266)+1)</f>
        <v/>
      </c>
      <c r="C267" s="8"/>
      <c r="D267" s="8"/>
      <c r="E267" s="20"/>
      <c r="F267" s="8"/>
      <c r="G267" s="8"/>
      <c r="H267" s="9"/>
      <c r="I267" s="9"/>
      <c r="J267" s="9"/>
      <c r="K267" s="10"/>
      <c r="L267" s="10"/>
      <c r="M267" s="9"/>
      <c r="N267" s="9"/>
      <c r="O267" s="9"/>
      <c r="P26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7" s="9"/>
      <c r="R267" s="9"/>
      <c r="S267" s="9"/>
      <c r="T267" s="37"/>
      <c r="U267" s="37"/>
      <c r="V267" s="37"/>
      <c r="W267" s="37"/>
      <c r="X267" s="37"/>
      <c r="Y267" s="37"/>
      <c r="Z26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7" s="37"/>
      <c r="AB267" s="66" t="str">
        <f>IF(COUNTA(SalCommune[[#This Row],[Nom]:[heures annuelles
selon contrat(s)]])=0,"",SalCommune[[#This Row],[Total global]]-ABS(SalCommune[[#This Row],[Dont non opposable]]))</f>
        <v/>
      </c>
      <c r="AC267" s="8"/>
      <c r="AD267" s="63"/>
      <c r="AE267" s="430"/>
      <c r="AF267" s="430"/>
      <c r="AG267" s="430"/>
      <c r="AH267" s="181"/>
      <c r="AI267" s="194">
        <f>IF(COUNTA(SalCommune[[#This Row],[N°]:[heures annuelles
selon contrat(s)]])=0,"",REVEX!$E$9)</f>
        <v>0</v>
      </c>
      <c r="AJ267" s="72" t="str">
        <f>IF(SalCommune[[#This Row],[Allocations fonctions]]="","",IF(ISNA(VLOOKUP(SalCommune[[#This Row],[Allocations fonctions]],DROPDOWN[Dropdown82],1,FALSE))=TRUE,"&lt;-- Veuillez choisir l'allocation parmis la liste déroulante.",""))</f>
        <v/>
      </c>
    </row>
    <row r="268" spans="1:36" x14ac:dyDescent="0.25">
      <c r="A268" s="72" t="str">
        <f>IF(SalCommune[[#This Row],[Statut]]="","",IF(ISNA(VLOOKUP(SalCommune[[#This Row],[Statut]],'Grille communale'!$B$3:$B$5,1,FALSE))=TRUE,"Veuillez choisir le statut parmis la liste déroulante",""))</f>
        <v/>
      </c>
      <c r="B268" s="725" t="str">
        <f>IF(SalCommune[[#This Row],[Matricule]]="","",MAX($B$7:B267)+1)</f>
        <v/>
      </c>
      <c r="C268" s="8"/>
      <c r="D268" s="8"/>
      <c r="E268" s="20"/>
      <c r="F268" s="8"/>
      <c r="G268" s="8"/>
      <c r="H268" s="9"/>
      <c r="I268" s="9"/>
      <c r="J268" s="9"/>
      <c r="K268" s="10"/>
      <c r="L268" s="10"/>
      <c r="M268" s="9"/>
      <c r="N268" s="9"/>
      <c r="O268" s="9"/>
      <c r="P26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8" s="9"/>
      <c r="R268" s="9"/>
      <c r="S268" s="9"/>
      <c r="T268" s="37"/>
      <c r="U268" s="37"/>
      <c r="V268" s="37"/>
      <c r="W268" s="37"/>
      <c r="X268" s="37"/>
      <c r="Y268" s="37"/>
      <c r="Z26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8" s="37"/>
      <c r="AB268" s="66" t="str">
        <f>IF(COUNTA(SalCommune[[#This Row],[Nom]:[heures annuelles
selon contrat(s)]])=0,"",SalCommune[[#This Row],[Total global]]-ABS(SalCommune[[#This Row],[Dont non opposable]]))</f>
        <v/>
      </c>
      <c r="AC268" s="8"/>
      <c r="AD268" s="63"/>
      <c r="AE268" s="430"/>
      <c r="AF268" s="430"/>
      <c r="AG268" s="430"/>
      <c r="AH268" s="181"/>
      <c r="AI268" s="194">
        <f>IF(COUNTA(SalCommune[[#This Row],[N°]:[heures annuelles
selon contrat(s)]])=0,"",REVEX!$E$9)</f>
        <v>0</v>
      </c>
      <c r="AJ268" s="72" t="str">
        <f>IF(SalCommune[[#This Row],[Allocations fonctions]]="","",IF(ISNA(VLOOKUP(SalCommune[[#This Row],[Allocations fonctions]],DROPDOWN[Dropdown82],1,FALSE))=TRUE,"&lt;-- Veuillez choisir l'allocation parmis la liste déroulante.",""))</f>
        <v/>
      </c>
    </row>
    <row r="269" spans="1:36" x14ac:dyDescent="0.25">
      <c r="A269" s="72" t="str">
        <f>IF(SalCommune[[#This Row],[Statut]]="","",IF(ISNA(VLOOKUP(SalCommune[[#This Row],[Statut]],'Grille communale'!$B$3:$B$5,1,FALSE))=TRUE,"Veuillez choisir le statut parmis la liste déroulante",""))</f>
        <v/>
      </c>
      <c r="B269" s="725" t="str">
        <f>IF(SalCommune[[#This Row],[Matricule]]="","",MAX($B$7:B268)+1)</f>
        <v/>
      </c>
      <c r="C269" s="8"/>
      <c r="D269" s="8"/>
      <c r="E269" s="20"/>
      <c r="F269" s="8"/>
      <c r="G269" s="8"/>
      <c r="H269" s="9"/>
      <c r="I269" s="9"/>
      <c r="J269" s="9"/>
      <c r="K269" s="10"/>
      <c r="L269" s="10"/>
      <c r="M269" s="9"/>
      <c r="N269" s="9"/>
      <c r="O269" s="9"/>
      <c r="P26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69" s="9"/>
      <c r="R269" s="9"/>
      <c r="S269" s="9"/>
      <c r="T269" s="37"/>
      <c r="U269" s="37"/>
      <c r="V269" s="37"/>
      <c r="W269" s="37"/>
      <c r="X269" s="37"/>
      <c r="Y269" s="37"/>
      <c r="Z26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69" s="37"/>
      <c r="AB269" s="66" t="str">
        <f>IF(COUNTA(SalCommune[[#This Row],[Nom]:[heures annuelles
selon contrat(s)]])=0,"",SalCommune[[#This Row],[Total global]]-ABS(SalCommune[[#This Row],[Dont non opposable]]))</f>
        <v/>
      </c>
      <c r="AC269" s="8"/>
      <c r="AD269" s="63"/>
      <c r="AE269" s="430"/>
      <c r="AF269" s="430"/>
      <c r="AG269" s="430"/>
      <c r="AH269" s="181"/>
      <c r="AI269" s="194">
        <f>IF(COUNTA(SalCommune[[#This Row],[N°]:[heures annuelles
selon contrat(s)]])=0,"",REVEX!$E$9)</f>
        <v>0</v>
      </c>
      <c r="AJ269" s="72" t="str">
        <f>IF(SalCommune[[#This Row],[Allocations fonctions]]="","",IF(ISNA(VLOOKUP(SalCommune[[#This Row],[Allocations fonctions]],DROPDOWN[Dropdown82],1,FALSE))=TRUE,"&lt;-- Veuillez choisir l'allocation parmis la liste déroulante.",""))</f>
        <v/>
      </c>
    </row>
    <row r="270" spans="1:36" x14ac:dyDescent="0.25">
      <c r="A270" s="72" t="str">
        <f>IF(SalCommune[[#This Row],[Statut]]="","",IF(ISNA(VLOOKUP(SalCommune[[#This Row],[Statut]],'Grille communale'!$B$3:$B$5,1,FALSE))=TRUE,"Veuillez choisir le statut parmis la liste déroulante",""))</f>
        <v/>
      </c>
      <c r="B270" s="725" t="str">
        <f>IF(SalCommune[[#This Row],[Matricule]]="","",MAX($B$7:B269)+1)</f>
        <v/>
      </c>
      <c r="C270" s="8"/>
      <c r="D270" s="8"/>
      <c r="E270" s="20"/>
      <c r="F270" s="8"/>
      <c r="G270" s="8"/>
      <c r="H270" s="9"/>
      <c r="I270" s="9"/>
      <c r="J270" s="9"/>
      <c r="K270" s="10"/>
      <c r="L270" s="10"/>
      <c r="M270" s="9"/>
      <c r="N270" s="9"/>
      <c r="O270" s="9"/>
      <c r="P27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0" s="9"/>
      <c r="R270" s="9"/>
      <c r="S270" s="9"/>
      <c r="T270" s="37"/>
      <c r="U270" s="37"/>
      <c r="V270" s="37"/>
      <c r="W270" s="37"/>
      <c r="X270" s="37"/>
      <c r="Y270" s="37"/>
      <c r="Z27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0" s="37"/>
      <c r="AB270" s="66" t="str">
        <f>IF(COUNTA(SalCommune[[#This Row],[Nom]:[heures annuelles
selon contrat(s)]])=0,"",SalCommune[[#This Row],[Total global]]-ABS(SalCommune[[#This Row],[Dont non opposable]]))</f>
        <v/>
      </c>
      <c r="AC270" s="8"/>
      <c r="AD270" s="63"/>
      <c r="AE270" s="430"/>
      <c r="AF270" s="430"/>
      <c r="AG270" s="430"/>
      <c r="AH270" s="181"/>
      <c r="AI270" s="194">
        <f>IF(COUNTA(SalCommune[[#This Row],[N°]:[heures annuelles
selon contrat(s)]])=0,"",REVEX!$E$9)</f>
        <v>0</v>
      </c>
      <c r="AJ270" s="72" t="str">
        <f>IF(SalCommune[[#This Row],[Allocations fonctions]]="","",IF(ISNA(VLOOKUP(SalCommune[[#This Row],[Allocations fonctions]],DROPDOWN[Dropdown82],1,FALSE))=TRUE,"&lt;-- Veuillez choisir l'allocation parmis la liste déroulante.",""))</f>
        <v/>
      </c>
    </row>
    <row r="271" spans="1:36" x14ac:dyDescent="0.25">
      <c r="A271" s="72" t="str">
        <f>IF(SalCommune[[#This Row],[Statut]]="","",IF(ISNA(VLOOKUP(SalCommune[[#This Row],[Statut]],'Grille communale'!$B$3:$B$5,1,FALSE))=TRUE,"Veuillez choisir le statut parmis la liste déroulante",""))</f>
        <v/>
      </c>
      <c r="B271" s="725" t="str">
        <f>IF(SalCommune[[#This Row],[Matricule]]="","",MAX($B$7:B270)+1)</f>
        <v/>
      </c>
      <c r="C271" s="8"/>
      <c r="D271" s="8"/>
      <c r="E271" s="20"/>
      <c r="F271" s="8"/>
      <c r="G271" s="8"/>
      <c r="H271" s="9"/>
      <c r="I271" s="9"/>
      <c r="J271" s="9"/>
      <c r="K271" s="10"/>
      <c r="L271" s="10"/>
      <c r="M271" s="9"/>
      <c r="N271" s="9"/>
      <c r="O271" s="9"/>
      <c r="P27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1" s="9"/>
      <c r="R271" s="9"/>
      <c r="S271" s="9"/>
      <c r="T271" s="37"/>
      <c r="U271" s="37"/>
      <c r="V271" s="37"/>
      <c r="W271" s="37"/>
      <c r="X271" s="37"/>
      <c r="Y271" s="37"/>
      <c r="Z27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1" s="37"/>
      <c r="AB271" s="66" t="str">
        <f>IF(COUNTA(SalCommune[[#This Row],[Nom]:[heures annuelles
selon contrat(s)]])=0,"",SalCommune[[#This Row],[Total global]]-ABS(SalCommune[[#This Row],[Dont non opposable]]))</f>
        <v/>
      </c>
      <c r="AC271" s="8"/>
      <c r="AD271" s="63"/>
      <c r="AE271" s="430"/>
      <c r="AF271" s="430"/>
      <c r="AG271" s="430"/>
      <c r="AH271" s="181"/>
      <c r="AI271" s="194">
        <f>IF(COUNTA(SalCommune[[#This Row],[N°]:[heures annuelles
selon contrat(s)]])=0,"",REVEX!$E$9)</f>
        <v>0</v>
      </c>
      <c r="AJ271" s="72" t="str">
        <f>IF(SalCommune[[#This Row],[Allocations fonctions]]="","",IF(ISNA(VLOOKUP(SalCommune[[#This Row],[Allocations fonctions]],DROPDOWN[Dropdown82],1,FALSE))=TRUE,"&lt;-- Veuillez choisir l'allocation parmis la liste déroulante.",""))</f>
        <v/>
      </c>
    </row>
    <row r="272" spans="1:36" x14ac:dyDescent="0.25">
      <c r="A272" s="72" t="str">
        <f>IF(SalCommune[[#This Row],[Statut]]="","",IF(ISNA(VLOOKUP(SalCommune[[#This Row],[Statut]],'Grille communale'!$B$3:$B$5,1,FALSE))=TRUE,"Veuillez choisir le statut parmis la liste déroulante",""))</f>
        <v/>
      </c>
      <c r="B272" s="725" t="str">
        <f>IF(SalCommune[[#This Row],[Matricule]]="","",MAX($B$7:B271)+1)</f>
        <v/>
      </c>
      <c r="C272" s="8"/>
      <c r="D272" s="8"/>
      <c r="E272" s="20"/>
      <c r="F272" s="8"/>
      <c r="G272" s="8"/>
      <c r="H272" s="9"/>
      <c r="I272" s="9"/>
      <c r="J272" s="9"/>
      <c r="K272" s="10"/>
      <c r="L272" s="10"/>
      <c r="M272" s="9"/>
      <c r="N272" s="9"/>
      <c r="O272" s="9"/>
      <c r="P27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2" s="9"/>
      <c r="R272" s="9"/>
      <c r="S272" s="9"/>
      <c r="T272" s="37"/>
      <c r="U272" s="37"/>
      <c r="V272" s="37"/>
      <c r="W272" s="37"/>
      <c r="X272" s="37"/>
      <c r="Y272" s="37"/>
      <c r="Z27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2" s="37"/>
      <c r="AB272" s="66" t="str">
        <f>IF(COUNTA(SalCommune[[#This Row],[Nom]:[heures annuelles
selon contrat(s)]])=0,"",SalCommune[[#This Row],[Total global]]-ABS(SalCommune[[#This Row],[Dont non opposable]]))</f>
        <v/>
      </c>
      <c r="AC272" s="8"/>
      <c r="AD272" s="63"/>
      <c r="AE272" s="430"/>
      <c r="AF272" s="430"/>
      <c r="AG272" s="430"/>
      <c r="AH272" s="181"/>
      <c r="AI272" s="194">
        <f>IF(COUNTA(SalCommune[[#This Row],[N°]:[heures annuelles
selon contrat(s)]])=0,"",REVEX!$E$9)</f>
        <v>0</v>
      </c>
      <c r="AJ272" s="72" t="str">
        <f>IF(SalCommune[[#This Row],[Allocations fonctions]]="","",IF(ISNA(VLOOKUP(SalCommune[[#This Row],[Allocations fonctions]],DROPDOWN[Dropdown82],1,FALSE))=TRUE,"&lt;-- Veuillez choisir l'allocation parmis la liste déroulante.",""))</f>
        <v/>
      </c>
    </row>
    <row r="273" spans="1:36" x14ac:dyDescent="0.25">
      <c r="A273" s="72" t="str">
        <f>IF(SalCommune[[#This Row],[Statut]]="","",IF(ISNA(VLOOKUP(SalCommune[[#This Row],[Statut]],'Grille communale'!$B$3:$B$5,1,FALSE))=TRUE,"Veuillez choisir le statut parmis la liste déroulante",""))</f>
        <v/>
      </c>
      <c r="B273" s="725" t="str">
        <f>IF(SalCommune[[#This Row],[Matricule]]="","",MAX($B$7:B272)+1)</f>
        <v/>
      </c>
      <c r="C273" s="8"/>
      <c r="D273" s="8"/>
      <c r="E273" s="20"/>
      <c r="F273" s="8"/>
      <c r="G273" s="8"/>
      <c r="H273" s="9"/>
      <c r="I273" s="9"/>
      <c r="J273" s="9"/>
      <c r="K273" s="10"/>
      <c r="L273" s="10"/>
      <c r="M273" s="9"/>
      <c r="N273" s="9"/>
      <c r="O273" s="9"/>
      <c r="P27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3" s="9"/>
      <c r="R273" s="9"/>
      <c r="S273" s="9"/>
      <c r="T273" s="37"/>
      <c r="U273" s="37"/>
      <c r="V273" s="37"/>
      <c r="W273" s="37"/>
      <c r="X273" s="37"/>
      <c r="Y273" s="37"/>
      <c r="Z27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3" s="37"/>
      <c r="AB273" s="66" t="str">
        <f>IF(COUNTA(SalCommune[[#This Row],[Nom]:[heures annuelles
selon contrat(s)]])=0,"",SalCommune[[#This Row],[Total global]]-ABS(SalCommune[[#This Row],[Dont non opposable]]))</f>
        <v/>
      </c>
      <c r="AC273" s="8"/>
      <c r="AD273" s="63"/>
      <c r="AE273" s="430"/>
      <c r="AF273" s="430"/>
      <c r="AG273" s="430"/>
      <c r="AH273" s="181"/>
      <c r="AI273" s="194">
        <f>IF(COUNTA(SalCommune[[#This Row],[N°]:[heures annuelles
selon contrat(s)]])=0,"",REVEX!$E$9)</f>
        <v>0</v>
      </c>
      <c r="AJ273" s="72" t="str">
        <f>IF(SalCommune[[#This Row],[Allocations fonctions]]="","",IF(ISNA(VLOOKUP(SalCommune[[#This Row],[Allocations fonctions]],DROPDOWN[Dropdown82],1,FALSE))=TRUE,"&lt;-- Veuillez choisir l'allocation parmis la liste déroulante.",""))</f>
        <v/>
      </c>
    </row>
    <row r="274" spans="1:36" x14ac:dyDescent="0.25">
      <c r="A274" s="72" t="str">
        <f>IF(SalCommune[[#This Row],[Statut]]="","",IF(ISNA(VLOOKUP(SalCommune[[#This Row],[Statut]],'Grille communale'!$B$3:$B$5,1,FALSE))=TRUE,"Veuillez choisir le statut parmis la liste déroulante",""))</f>
        <v/>
      </c>
      <c r="B274" s="725" t="str">
        <f>IF(SalCommune[[#This Row],[Matricule]]="","",MAX($B$7:B273)+1)</f>
        <v/>
      </c>
      <c r="C274" s="8"/>
      <c r="D274" s="8"/>
      <c r="E274" s="20"/>
      <c r="F274" s="8"/>
      <c r="G274" s="8"/>
      <c r="H274" s="9"/>
      <c r="I274" s="9"/>
      <c r="J274" s="9"/>
      <c r="K274" s="10"/>
      <c r="L274" s="10"/>
      <c r="M274" s="9"/>
      <c r="N274" s="9"/>
      <c r="O274" s="9"/>
      <c r="P27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4" s="9"/>
      <c r="R274" s="9"/>
      <c r="S274" s="9"/>
      <c r="T274" s="37"/>
      <c r="U274" s="37"/>
      <c r="V274" s="37"/>
      <c r="W274" s="37"/>
      <c r="X274" s="37"/>
      <c r="Y274" s="37"/>
      <c r="Z27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4" s="37"/>
      <c r="AB274" s="66" t="str">
        <f>IF(COUNTA(SalCommune[[#This Row],[Nom]:[heures annuelles
selon contrat(s)]])=0,"",SalCommune[[#This Row],[Total global]]-ABS(SalCommune[[#This Row],[Dont non opposable]]))</f>
        <v/>
      </c>
      <c r="AC274" s="8"/>
      <c r="AD274" s="63"/>
      <c r="AE274" s="430"/>
      <c r="AF274" s="430"/>
      <c r="AG274" s="430"/>
      <c r="AH274" s="181"/>
      <c r="AI274" s="194">
        <f>IF(COUNTA(SalCommune[[#This Row],[N°]:[heures annuelles
selon contrat(s)]])=0,"",REVEX!$E$9)</f>
        <v>0</v>
      </c>
      <c r="AJ274" s="72" t="str">
        <f>IF(SalCommune[[#This Row],[Allocations fonctions]]="","",IF(ISNA(VLOOKUP(SalCommune[[#This Row],[Allocations fonctions]],DROPDOWN[Dropdown82],1,FALSE))=TRUE,"&lt;-- Veuillez choisir l'allocation parmis la liste déroulante.",""))</f>
        <v/>
      </c>
    </row>
    <row r="275" spans="1:36" x14ac:dyDescent="0.25">
      <c r="A275" s="72" t="str">
        <f>IF(SalCommune[[#This Row],[Statut]]="","",IF(ISNA(VLOOKUP(SalCommune[[#This Row],[Statut]],'Grille communale'!$B$3:$B$5,1,FALSE))=TRUE,"Veuillez choisir le statut parmis la liste déroulante",""))</f>
        <v/>
      </c>
      <c r="B275" s="725" t="str">
        <f>IF(SalCommune[[#This Row],[Matricule]]="","",MAX($B$7:B274)+1)</f>
        <v/>
      </c>
      <c r="C275" s="8"/>
      <c r="D275" s="8"/>
      <c r="E275" s="20"/>
      <c r="F275" s="8"/>
      <c r="G275" s="8"/>
      <c r="H275" s="9"/>
      <c r="I275" s="9"/>
      <c r="J275" s="9"/>
      <c r="K275" s="10"/>
      <c r="L275" s="10"/>
      <c r="M275" s="9"/>
      <c r="N275" s="9"/>
      <c r="O275" s="9"/>
      <c r="P27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5" s="9"/>
      <c r="R275" s="9"/>
      <c r="S275" s="9"/>
      <c r="T275" s="37"/>
      <c r="U275" s="37"/>
      <c r="V275" s="37"/>
      <c r="W275" s="37"/>
      <c r="X275" s="37"/>
      <c r="Y275" s="37"/>
      <c r="Z27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5" s="37"/>
      <c r="AB275" s="66" t="str">
        <f>IF(COUNTA(SalCommune[[#This Row],[Nom]:[heures annuelles
selon contrat(s)]])=0,"",SalCommune[[#This Row],[Total global]]-ABS(SalCommune[[#This Row],[Dont non opposable]]))</f>
        <v/>
      </c>
      <c r="AC275" s="8"/>
      <c r="AD275" s="63"/>
      <c r="AE275" s="430"/>
      <c r="AF275" s="430"/>
      <c r="AG275" s="430"/>
      <c r="AH275" s="181"/>
      <c r="AI275" s="194">
        <f>IF(COUNTA(SalCommune[[#This Row],[N°]:[heures annuelles
selon contrat(s)]])=0,"",REVEX!$E$9)</f>
        <v>0</v>
      </c>
      <c r="AJ275" s="72" t="str">
        <f>IF(SalCommune[[#This Row],[Allocations fonctions]]="","",IF(ISNA(VLOOKUP(SalCommune[[#This Row],[Allocations fonctions]],DROPDOWN[Dropdown82],1,FALSE))=TRUE,"&lt;-- Veuillez choisir l'allocation parmis la liste déroulante.",""))</f>
        <v/>
      </c>
    </row>
    <row r="276" spans="1:36" x14ac:dyDescent="0.25">
      <c r="A276" s="72" t="str">
        <f>IF(SalCommune[[#This Row],[Statut]]="","",IF(ISNA(VLOOKUP(SalCommune[[#This Row],[Statut]],'Grille communale'!$B$3:$B$5,1,FALSE))=TRUE,"Veuillez choisir le statut parmis la liste déroulante",""))</f>
        <v/>
      </c>
      <c r="B276" s="725" t="str">
        <f>IF(SalCommune[[#This Row],[Matricule]]="","",MAX($B$7:B275)+1)</f>
        <v/>
      </c>
      <c r="C276" s="8"/>
      <c r="D276" s="8"/>
      <c r="E276" s="20"/>
      <c r="F276" s="8"/>
      <c r="G276" s="8"/>
      <c r="H276" s="9"/>
      <c r="I276" s="9"/>
      <c r="J276" s="9"/>
      <c r="K276" s="10"/>
      <c r="L276" s="10"/>
      <c r="M276" s="9"/>
      <c r="N276" s="9"/>
      <c r="O276" s="9"/>
      <c r="P27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6" s="9"/>
      <c r="R276" s="9"/>
      <c r="S276" s="9"/>
      <c r="T276" s="37"/>
      <c r="U276" s="37"/>
      <c r="V276" s="37"/>
      <c r="W276" s="37"/>
      <c r="X276" s="37"/>
      <c r="Y276" s="37"/>
      <c r="Z27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6" s="37"/>
      <c r="AB276" s="66" t="str">
        <f>IF(COUNTA(SalCommune[[#This Row],[Nom]:[heures annuelles
selon contrat(s)]])=0,"",SalCommune[[#This Row],[Total global]]-ABS(SalCommune[[#This Row],[Dont non opposable]]))</f>
        <v/>
      </c>
      <c r="AC276" s="8"/>
      <c r="AD276" s="63"/>
      <c r="AE276" s="430"/>
      <c r="AF276" s="430"/>
      <c r="AG276" s="430"/>
      <c r="AH276" s="181"/>
      <c r="AI276" s="194">
        <f>IF(COUNTA(SalCommune[[#This Row],[N°]:[heures annuelles
selon contrat(s)]])=0,"",REVEX!$E$9)</f>
        <v>0</v>
      </c>
      <c r="AJ276" s="72" t="str">
        <f>IF(SalCommune[[#This Row],[Allocations fonctions]]="","",IF(ISNA(VLOOKUP(SalCommune[[#This Row],[Allocations fonctions]],DROPDOWN[Dropdown82],1,FALSE))=TRUE,"&lt;-- Veuillez choisir l'allocation parmis la liste déroulante.",""))</f>
        <v/>
      </c>
    </row>
    <row r="277" spans="1:36" x14ac:dyDescent="0.25">
      <c r="A277" s="72" t="str">
        <f>IF(SalCommune[[#This Row],[Statut]]="","",IF(ISNA(VLOOKUP(SalCommune[[#This Row],[Statut]],'Grille communale'!$B$3:$B$5,1,FALSE))=TRUE,"Veuillez choisir le statut parmis la liste déroulante",""))</f>
        <v/>
      </c>
      <c r="B277" s="725" t="str">
        <f>IF(SalCommune[[#This Row],[Matricule]]="","",MAX($B$7:B276)+1)</f>
        <v/>
      </c>
      <c r="C277" s="8"/>
      <c r="D277" s="8"/>
      <c r="E277" s="20"/>
      <c r="F277" s="8"/>
      <c r="G277" s="8"/>
      <c r="H277" s="9"/>
      <c r="I277" s="9"/>
      <c r="J277" s="9"/>
      <c r="K277" s="10"/>
      <c r="L277" s="10"/>
      <c r="M277" s="9"/>
      <c r="N277" s="9"/>
      <c r="O277" s="9"/>
      <c r="P27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7" s="9"/>
      <c r="R277" s="9"/>
      <c r="S277" s="9"/>
      <c r="T277" s="37"/>
      <c r="U277" s="37"/>
      <c r="V277" s="37"/>
      <c r="W277" s="37"/>
      <c r="X277" s="37"/>
      <c r="Y277" s="37"/>
      <c r="Z27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7" s="37"/>
      <c r="AB277" s="66" t="str">
        <f>IF(COUNTA(SalCommune[[#This Row],[Nom]:[heures annuelles
selon contrat(s)]])=0,"",SalCommune[[#This Row],[Total global]]-ABS(SalCommune[[#This Row],[Dont non opposable]]))</f>
        <v/>
      </c>
      <c r="AC277" s="8"/>
      <c r="AD277" s="63"/>
      <c r="AE277" s="430"/>
      <c r="AF277" s="430"/>
      <c r="AG277" s="430"/>
      <c r="AH277" s="181"/>
      <c r="AI277" s="194">
        <f>IF(COUNTA(SalCommune[[#This Row],[N°]:[heures annuelles
selon contrat(s)]])=0,"",REVEX!$E$9)</f>
        <v>0</v>
      </c>
      <c r="AJ277" s="72" t="str">
        <f>IF(SalCommune[[#This Row],[Allocations fonctions]]="","",IF(ISNA(VLOOKUP(SalCommune[[#This Row],[Allocations fonctions]],DROPDOWN[Dropdown82],1,FALSE))=TRUE,"&lt;-- Veuillez choisir l'allocation parmis la liste déroulante.",""))</f>
        <v/>
      </c>
    </row>
    <row r="278" spans="1:36" x14ac:dyDescent="0.25">
      <c r="A278" s="72" t="str">
        <f>IF(SalCommune[[#This Row],[Statut]]="","",IF(ISNA(VLOOKUP(SalCommune[[#This Row],[Statut]],'Grille communale'!$B$3:$B$5,1,FALSE))=TRUE,"Veuillez choisir le statut parmis la liste déroulante",""))</f>
        <v/>
      </c>
      <c r="B278" s="725" t="str">
        <f>IF(SalCommune[[#This Row],[Matricule]]="","",MAX($B$7:B277)+1)</f>
        <v/>
      </c>
      <c r="C278" s="8"/>
      <c r="D278" s="8"/>
      <c r="E278" s="20"/>
      <c r="F278" s="8"/>
      <c r="G278" s="8"/>
      <c r="H278" s="9"/>
      <c r="I278" s="9"/>
      <c r="J278" s="9"/>
      <c r="K278" s="10"/>
      <c r="L278" s="10"/>
      <c r="M278" s="9"/>
      <c r="N278" s="9"/>
      <c r="O278" s="9"/>
      <c r="P27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8" s="9"/>
      <c r="R278" s="9"/>
      <c r="S278" s="9"/>
      <c r="T278" s="37"/>
      <c r="U278" s="37"/>
      <c r="V278" s="37"/>
      <c r="W278" s="37"/>
      <c r="X278" s="37"/>
      <c r="Y278" s="37"/>
      <c r="Z27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8" s="37"/>
      <c r="AB278" s="66" t="str">
        <f>IF(COUNTA(SalCommune[[#This Row],[Nom]:[heures annuelles
selon contrat(s)]])=0,"",SalCommune[[#This Row],[Total global]]-ABS(SalCommune[[#This Row],[Dont non opposable]]))</f>
        <v/>
      </c>
      <c r="AC278" s="8"/>
      <c r="AD278" s="63"/>
      <c r="AE278" s="430"/>
      <c r="AF278" s="430"/>
      <c r="AG278" s="430"/>
      <c r="AH278" s="181"/>
      <c r="AI278" s="194">
        <f>IF(COUNTA(SalCommune[[#This Row],[N°]:[heures annuelles
selon contrat(s)]])=0,"",REVEX!$E$9)</f>
        <v>0</v>
      </c>
      <c r="AJ278" s="72" t="str">
        <f>IF(SalCommune[[#This Row],[Allocations fonctions]]="","",IF(ISNA(VLOOKUP(SalCommune[[#This Row],[Allocations fonctions]],DROPDOWN[Dropdown82],1,FALSE))=TRUE,"&lt;-- Veuillez choisir l'allocation parmis la liste déroulante.",""))</f>
        <v/>
      </c>
    </row>
    <row r="279" spans="1:36" x14ac:dyDescent="0.25">
      <c r="A279" s="72" t="str">
        <f>IF(SalCommune[[#This Row],[Statut]]="","",IF(ISNA(VLOOKUP(SalCommune[[#This Row],[Statut]],'Grille communale'!$B$3:$B$5,1,FALSE))=TRUE,"Veuillez choisir le statut parmis la liste déroulante",""))</f>
        <v/>
      </c>
      <c r="B279" s="725" t="str">
        <f>IF(SalCommune[[#This Row],[Matricule]]="","",MAX($B$7:B278)+1)</f>
        <v/>
      </c>
      <c r="C279" s="8"/>
      <c r="D279" s="8"/>
      <c r="E279" s="20"/>
      <c r="F279" s="8"/>
      <c r="G279" s="8"/>
      <c r="H279" s="9"/>
      <c r="I279" s="9"/>
      <c r="J279" s="9"/>
      <c r="K279" s="10"/>
      <c r="L279" s="10"/>
      <c r="M279" s="9"/>
      <c r="N279" s="9"/>
      <c r="O279" s="9"/>
      <c r="P27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79" s="9"/>
      <c r="R279" s="9"/>
      <c r="S279" s="9"/>
      <c r="T279" s="37"/>
      <c r="U279" s="37"/>
      <c r="V279" s="37"/>
      <c r="W279" s="37"/>
      <c r="X279" s="37"/>
      <c r="Y279" s="37"/>
      <c r="Z27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79" s="37"/>
      <c r="AB279" s="66" t="str">
        <f>IF(COUNTA(SalCommune[[#This Row],[Nom]:[heures annuelles
selon contrat(s)]])=0,"",SalCommune[[#This Row],[Total global]]-ABS(SalCommune[[#This Row],[Dont non opposable]]))</f>
        <v/>
      </c>
      <c r="AC279" s="8"/>
      <c r="AD279" s="63"/>
      <c r="AE279" s="430"/>
      <c r="AF279" s="430"/>
      <c r="AG279" s="430"/>
      <c r="AH279" s="181"/>
      <c r="AI279" s="194">
        <f>IF(COUNTA(SalCommune[[#This Row],[N°]:[heures annuelles
selon contrat(s)]])=0,"",REVEX!$E$9)</f>
        <v>0</v>
      </c>
      <c r="AJ279" s="72" t="str">
        <f>IF(SalCommune[[#This Row],[Allocations fonctions]]="","",IF(ISNA(VLOOKUP(SalCommune[[#This Row],[Allocations fonctions]],DROPDOWN[Dropdown82],1,FALSE))=TRUE,"&lt;-- Veuillez choisir l'allocation parmis la liste déroulante.",""))</f>
        <v/>
      </c>
    </row>
    <row r="280" spans="1:36" x14ac:dyDescent="0.25">
      <c r="A280" s="72"/>
      <c r="B280" s="725" t="str">
        <f>IF(SalCommune[[#This Row],[Matricule]]="","",MAX($B$7:B279)+1)</f>
        <v/>
      </c>
      <c r="C280" s="8"/>
      <c r="D280" s="8"/>
      <c r="E280" s="20"/>
      <c r="F280" s="8"/>
      <c r="G280" s="8"/>
      <c r="H280" s="9"/>
      <c r="I280" s="9"/>
      <c r="J280" s="9"/>
      <c r="K280" s="714"/>
      <c r="L280" s="714"/>
      <c r="M280" s="9"/>
      <c r="N280" s="9"/>
      <c r="O280" s="9"/>
      <c r="P28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0" s="9"/>
      <c r="R280" s="9"/>
      <c r="S280" s="9"/>
      <c r="T280" s="37"/>
      <c r="U280" s="37"/>
      <c r="V280" s="37"/>
      <c r="W280" s="37"/>
      <c r="X280" s="37"/>
      <c r="Y280" s="37"/>
      <c r="Z28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0" s="37"/>
      <c r="AB280" s="713" t="str">
        <f>IF(COUNTA(SalCommune[[#This Row],[Nom]:[heures annuelles
selon contrat(s)]])=0,"",SalCommune[[#This Row],[Total global]]-ABS(SalCommune[[#This Row],[Dont non opposable]]))</f>
        <v/>
      </c>
      <c r="AC280" s="8"/>
      <c r="AD280" s="63"/>
      <c r="AE280" s="430"/>
      <c r="AF280" s="430"/>
      <c r="AG280" s="430"/>
      <c r="AH280" s="181"/>
      <c r="AI280" s="194">
        <f>IF(COUNTA(SalCommune[[#This Row],[N°]:[heures annuelles
selon contrat(s)]])=0,"",REVEX!$E$9)</f>
        <v>0</v>
      </c>
      <c r="AJ280" s="72"/>
    </row>
    <row r="281" spans="1:36" x14ac:dyDescent="0.25">
      <c r="A281" s="72"/>
      <c r="B281" s="725" t="str">
        <f>IF(SalCommune[[#This Row],[Matricule]]="","",MAX($B$7:B280)+1)</f>
        <v/>
      </c>
      <c r="C281" s="8"/>
      <c r="D281" s="8"/>
      <c r="E281" s="20"/>
      <c r="F281" s="8"/>
      <c r="G281" s="8"/>
      <c r="H281" s="9"/>
      <c r="I281" s="9"/>
      <c r="J281" s="9"/>
      <c r="K281" s="714"/>
      <c r="L281" s="714"/>
      <c r="M281" s="9"/>
      <c r="N281" s="9"/>
      <c r="O281" s="9"/>
      <c r="P28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1" s="9"/>
      <c r="R281" s="9"/>
      <c r="S281" s="9"/>
      <c r="T281" s="37"/>
      <c r="U281" s="37"/>
      <c r="V281" s="37"/>
      <c r="W281" s="37"/>
      <c r="X281" s="37"/>
      <c r="Y281" s="37"/>
      <c r="Z28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1" s="37"/>
      <c r="AB281" s="713" t="str">
        <f>IF(COUNTA(SalCommune[[#This Row],[Nom]:[heures annuelles
selon contrat(s)]])=0,"",SalCommune[[#This Row],[Total global]]-ABS(SalCommune[[#This Row],[Dont non opposable]]))</f>
        <v/>
      </c>
      <c r="AC281" s="8"/>
      <c r="AD281" s="63"/>
      <c r="AE281" s="430"/>
      <c r="AF281" s="430"/>
      <c r="AG281" s="430"/>
      <c r="AH281" s="181"/>
      <c r="AI281" s="194">
        <f>IF(COUNTA(SalCommune[[#This Row],[N°]:[heures annuelles
selon contrat(s)]])=0,"",REVEX!$E$9)</f>
        <v>0</v>
      </c>
      <c r="AJ281" s="72"/>
    </row>
    <row r="282" spans="1:36" x14ac:dyDescent="0.25">
      <c r="A282" s="72"/>
      <c r="B282" s="725" t="str">
        <f>IF(SalCommune[[#This Row],[Matricule]]="","",MAX($B$7:B281)+1)</f>
        <v/>
      </c>
      <c r="C282" s="8"/>
      <c r="D282" s="8"/>
      <c r="E282" s="20"/>
      <c r="F282" s="8"/>
      <c r="G282" s="8"/>
      <c r="H282" s="9"/>
      <c r="I282" s="9"/>
      <c r="J282" s="9"/>
      <c r="K282" s="714"/>
      <c r="L282" s="714"/>
      <c r="M282" s="9"/>
      <c r="N282" s="9"/>
      <c r="O282" s="9"/>
      <c r="P28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2" s="9"/>
      <c r="R282" s="9"/>
      <c r="S282" s="9"/>
      <c r="T282" s="37"/>
      <c r="U282" s="37"/>
      <c r="V282" s="37"/>
      <c r="W282" s="37"/>
      <c r="X282" s="37"/>
      <c r="Y282" s="37"/>
      <c r="Z28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2" s="37"/>
      <c r="AB282" s="713" t="str">
        <f>IF(COUNTA(SalCommune[[#This Row],[Nom]:[heures annuelles
selon contrat(s)]])=0,"",SalCommune[[#This Row],[Total global]]-ABS(SalCommune[[#This Row],[Dont non opposable]]))</f>
        <v/>
      </c>
      <c r="AC282" s="8"/>
      <c r="AD282" s="63"/>
      <c r="AE282" s="430"/>
      <c r="AF282" s="430"/>
      <c r="AG282" s="430"/>
      <c r="AH282" s="181"/>
      <c r="AI282" s="194">
        <f>IF(COUNTA(SalCommune[[#This Row],[N°]:[heures annuelles
selon contrat(s)]])=0,"",REVEX!$E$9)</f>
        <v>0</v>
      </c>
      <c r="AJ282" s="72"/>
    </row>
    <row r="283" spans="1:36" x14ac:dyDescent="0.25">
      <c r="A283" s="72"/>
      <c r="B283" s="725" t="str">
        <f>IF(SalCommune[[#This Row],[Matricule]]="","",MAX($B$7:B282)+1)</f>
        <v/>
      </c>
      <c r="C283" s="8"/>
      <c r="D283" s="8"/>
      <c r="E283" s="20"/>
      <c r="F283" s="8"/>
      <c r="G283" s="8"/>
      <c r="H283" s="9"/>
      <c r="I283" s="9"/>
      <c r="J283" s="9"/>
      <c r="K283" s="714"/>
      <c r="L283" s="714"/>
      <c r="M283" s="9"/>
      <c r="N283" s="9"/>
      <c r="O283" s="9"/>
      <c r="P28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3" s="9"/>
      <c r="R283" s="9"/>
      <c r="S283" s="9"/>
      <c r="T283" s="37"/>
      <c r="U283" s="37"/>
      <c r="V283" s="37"/>
      <c r="W283" s="37"/>
      <c r="X283" s="37"/>
      <c r="Y283" s="37"/>
      <c r="Z28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3" s="37"/>
      <c r="AB283" s="713" t="str">
        <f>IF(COUNTA(SalCommune[[#This Row],[Nom]:[heures annuelles
selon contrat(s)]])=0,"",SalCommune[[#This Row],[Total global]]-ABS(SalCommune[[#This Row],[Dont non opposable]]))</f>
        <v/>
      </c>
      <c r="AC283" s="8"/>
      <c r="AD283" s="63"/>
      <c r="AE283" s="430"/>
      <c r="AF283" s="430"/>
      <c r="AG283" s="430"/>
      <c r="AH283" s="181"/>
      <c r="AI283" s="194">
        <f>IF(COUNTA(SalCommune[[#This Row],[N°]:[heures annuelles
selon contrat(s)]])=0,"",REVEX!$E$9)</f>
        <v>0</v>
      </c>
      <c r="AJ283" s="72"/>
    </row>
    <row r="284" spans="1:36" x14ac:dyDescent="0.25">
      <c r="A284" s="72"/>
      <c r="B284" s="725" t="str">
        <f>IF(SalCommune[[#This Row],[Matricule]]="","",MAX($B$7:B283)+1)</f>
        <v/>
      </c>
      <c r="C284" s="8"/>
      <c r="D284" s="8"/>
      <c r="E284" s="20"/>
      <c r="F284" s="8"/>
      <c r="G284" s="8"/>
      <c r="H284" s="9"/>
      <c r="I284" s="9"/>
      <c r="J284" s="9"/>
      <c r="K284" s="714"/>
      <c r="L284" s="714"/>
      <c r="M284" s="9"/>
      <c r="N284" s="9"/>
      <c r="O284" s="9"/>
      <c r="P28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4" s="9"/>
      <c r="R284" s="9"/>
      <c r="S284" s="9"/>
      <c r="T284" s="37"/>
      <c r="U284" s="37"/>
      <c r="V284" s="37"/>
      <c r="W284" s="37"/>
      <c r="X284" s="37"/>
      <c r="Y284" s="37"/>
      <c r="Z28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4" s="37"/>
      <c r="AB284" s="713" t="str">
        <f>IF(COUNTA(SalCommune[[#This Row],[Nom]:[heures annuelles
selon contrat(s)]])=0,"",SalCommune[[#This Row],[Total global]]-ABS(SalCommune[[#This Row],[Dont non opposable]]))</f>
        <v/>
      </c>
      <c r="AC284" s="8"/>
      <c r="AD284" s="63"/>
      <c r="AE284" s="430"/>
      <c r="AF284" s="430"/>
      <c r="AG284" s="430"/>
      <c r="AH284" s="181"/>
      <c r="AI284" s="194">
        <f>IF(COUNTA(SalCommune[[#This Row],[N°]:[heures annuelles
selon contrat(s)]])=0,"",REVEX!$E$9)</f>
        <v>0</v>
      </c>
      <c r="AJ284" s="72"/>
    </row>
    <row r="285" spans="1:36" x14ac:dyDescent="0.25">
      <c r="A285" s="72"/>
      <c r="B285" s="725" t="str">
        <f>IF(SalCommune[[#This Row],[Matricule]]="","",MAX($B$7:B284)+1)</f>
        <v/>
      </c>
      <c r="C285" s="8"/>
      <c r="D285" s="8"/>
      <c r="E285" s="20"/>
      <c r="F285" s="8"/>
      <c r="G285" s="8"/>
      <c r="H285" s="9"/>
      <c r="I285" s="9"/>
      <c r="J285" s="9"/>
      <c r="K285" s="714"/>
      <c r="L285" s="714"/>
      <c r="M285" s="9"/>
      <c r="N285" s="9"/>
      <c r="O285" s="9"/>
      <c r="P28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5" s="9"/>
      <c r="R285" s="9"/>
      <c r="S285" s="9"/>
      <c r="T285" s="37"/>
      <c r="U285" s="37"/>
      <c r="V285" s="37"/>
      <c r="W285" s="37"/>
      <c r="X285" s="37"/>
      <c r="Y285" s="37"/>
      <c r="Z28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5" s="37"/>
      <c r="AB285" s="713" t="str">
        <f>IF(COUNTA(SalCommune[[#This Row],[Nom]:[heures annuelles
selon contrat(s)]])=0,"",SalCommune[[#This Row],[Total global]]-ABS(SalCommune[[#This Row],[Dont non opposable]]))</f>
        <v/>
      </c>
      <c r="AC285" s="8"/>
      <c r="AD285" s="63"/>
      <c r="AE285" s="430"/>
      <c r="AF285" s="430"/>
      <c r="AG285" s="430"/>
      <c r="AH285" s="181"/>
      <c r="AI285" s="194">
        <f>IF(COUNTA(SalCommune[[#This Row],[N°]:[heures annuelles
selon contrat(s)]])=0,"",REVEX!$E$9)</f>
        <v>0</v>
      </c>
      <c r="AJ285" s="72"/>
    </row>
    <row r="286" spans="1:36" x14ac:dyDescent="0.25">
      <c r="A286" s="72"/>
      <c r="B286" s="725" t="str">
        <f>IF(SalCommune[[#This Row],[Matricule]]="","",MAX($B$7:B285)+1)</f>
        <v/>
      </c>
      <c r="C286" s="8"/>
      <c r="D286" s="8"/>
      <c r="E286" s="20"/>
      <c r="F286" s="8"/>
      <c r="G286" s="8"/>
      <c r="H286" s="9"/>
      <c r="I286" s="9"/>
      <c r="J286" s="9"/>
      <c r="K286" s="714"/>
      <c r="L286" s="714"/>
      <c r="M286" s="9"/>
      <c r="N286" s="9"/>
      <c r="O286" s="9"/>
      <c r="P28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6" s="9"/>
      <c r="R286" s="9"/>
      <c r="S286" s="9"/>
      <c r="T286" s="37"/>
      <c r="U286" s="37"/>
      <c r="V286" s="37"/>
      <c r="W286" s="37"/>
      <c r="X286" s="37"/>
      <c r="Y286" s="37"/>
      <c r="Z28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6" s="37"/>
      <c r="AB286" s="713" t="str">
        <f>IF(COUNTA(SalCommune[[#This Row],[Nom]:[heures annuelles
selon contrat(s)]])=0,"",SalCommune[[#This Row],[Total global]]-ABS(SalCommune[[#This Row],[Dont non opposable]]))</f>
        <v/>
      </c>
      <c r="AC286" s="8"/>
      <c r="AD286" s="63"/>
      <c r="AE286" s="430"/>
      <c r="AF286" s="430"/>
      <c r="AG286" s="430"/>
      <c r="AH286" s="181"/>
      <c r="AI286" s="194">
        <f>IF(COUNTA(SalCommune[[#This Row],[N°]:[heures annuelles
selon contrat(s)]])=0,"",REVEX!$E$9)</f>
        <v>0</v>
      </c>
      <c r="AJ286" s="72"/>
    </row>
    <row r="287" spans="1:36" x14ac:dyDescent="0.25">
      <c r="A287" s="72"/>
      <c r="B287" s="725" t="str">
        <f>IF(SalCommune[[#This Row],[Matricule]]="","",MAX($B$7:B286)+1)</f>
        <v/>
      </c>
      <c r="C287" s="8"/>
      <c r="D287" s="8"/>
      <c r="E287" s="20"/>
      <c r="F287" s="8"/>
      <c r="G287" s="8"/>
      <c r="H287" s="9"/>
      <c r="I287" s="9"/>
      <c r="J287" s="9"/>
      <c r="K287" s="714"/>
      <c r="L287" s="714"/>
      <c r="M287" s="9"/>
      <c r="N287" s="9"/>
      <c r="O287" s="9"/>
      <c r="P28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7" s="9"/>
      <c r="R287" s="9"/>
      <c r="S287" s="9"/>
      <c r="T287" s="37"/>
      <c r="U287" s="37"/>
      <c r="V287" s="37"/>
      <c r="W287" s="37"/>
      <c r="X287" s="37"/>
      <c r="Y287" s="37"/>
      <c r="Z28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7" s="37"/>
      <c r="AB287" s="713" t="str">
        <f>IF(COUNTA(SalCommune[[#This Row],[Nom]:[heures annuelles
selon contrat(s)]])=0,"",SalCommune[[#This Row],[Total global]]-ABS(SalCommune[[#This Row],[Dont non opposable]]))</f>
        <v/>
      </c>
      <c r="AC287" s="8"/>
      <c r="AD287" s="63"/>
      <c r="AE287" s="430"/>
      <c r="AF287" s="430"/>
      <c r="AG287" s="430"/>
      <c r="AH287" s="181"/>
      <c r="AI287" s="194">
        <f>IF(COUNTA(SalCommune[[#This Row],[N°]:[heures annuelles
selon contrat(s)]])=0,"",REVEX!$E$9)</f>
        <v>0</v>
      </c>
      <c r="AJ287" s="72"/>
    </row>
    <row r="288" spans="1:36" x14ac:dyDescent="0.25">
      <c r="A288" s="72"/>
      <c r="B288" s="725" t="str">
        <f>IF(SalCommune[[#This Row],[Matricule]]="","",MAX($B$7:B287)+1)</f>
        <v/>
      </c>
      <c r="C288" s="8"/>
      <c r="D288" s="8"/>
      <c r="E288" s="20"/>
      <c r="F288" s="8"/>
      <c r="G288" s="8"/>
      <c r="H288" s="9"/>
      <c r="I288" s="9"/>
      <c r="J288" s="9"/>
      <c r="K288" s="714"/>
      <c r="L288" s="714"/>
      <c r="M288" s="9"/>
      <c r="N288" s="9"/>
      <c r="O288" s="9"/>
      <c r="P28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8" s="9"/>
      <c r="R288" s="9"/>
      <c r="S288" s="9"/>
      <c r="T288" s="37"/>
      <c r="U288" s="37"/>
      <c r="V288" s="37"/>
      <c r="W288" s="37"/>
      <c r="X288" s="37"/>
      <c r="Y288" s="37"/>
      <c r="Z28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8" s="37"/>
      <c r="AB288" s="713" t="str">
        <f>IF(COUNTA(SalCommune[[#This Row],[Nom]:[heures annuelles
selon contrat(s)]])=0,"",SalCommune[[#This Row],[Total global]]-ABS(SalCommune[[#This Row],[Dont non opposable]]))</f>
        <v/>
      </c>
      <c r="AC288" s="8"/>
      <c r="AD288" s="63"/>
      <c r="AE288" s="430"/>
      <c r="AF288" s="430"/>
      <c r="AG288" s="430"/>
      <c r="AH288" s="181"/>
      <c r="AI288" s="194">
        <f>IF(COUNTA(SalCommune[[#This Row],[N°]:[heures annuelles
selon contrat(s)]])=0,"",REVEX!$E$9)</f>
        <v>0</v>
      </c>
      <c r="AJ288" s="72"/>
    </row>
    <row r="289" spans="1:36" x14ac:dyDescent="0.25">
      <c r="A289" s="72"/>
      <c r="B289" s="725" t="str">
        <f>IF(SalCommune[[#This Row],[Matricule]]="","",MAX($B$7:B288)+1)</f>
        <v/>
      </c>
      <c r="C289" s="8"/>
      <c r="D289" s="8"/>
      <c r="E289" s="20"/>
      <c r="F289" s="8"/>
      <c r="G289" s="8"/>
      <c r="H289" s="9"/>
      <c r="I289" s="9"/>
      <c r="J289" s="9"/>
      <c r="K289" s="714"/>
      <c r="L289" s="714"/>
      <c r="M289" s="9"/>
      <c r="N289" s="9"/>
      <c r="O289" s="9"/>
      <c r="P28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89" s="9"/>
      <c r="R289" s="9"/>
      <c r="S289" s="9"/>
      <c r="T289" s="37"/>
      <c r="U289" s="37"/>
      <c r="V289" s="37"/>
      <c r="W289" s="37"/>
      <c r="X289" s="37"/>
      <c r="Y289" s="37"/>
      <c r="Z28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89" s="37"/>
      <c r="AB289" s="713" t="str">
        <f>IF(COUNTA(SalCommune[[#This Row],[Nom]:[heures annuelles
selon contrat(s)]])=0,"",SalCommune[[#This Row],[Total global]]-ABS(SalCommune[[#This Row],[Dont non opposable]]))</f>
        <v/>
      </c>
      <c r="AC289" s="8"/>
      <c r="AD289" s="63"/>
      <c r="AE289" s="430"/>
      <c r="AF289" s="430"/>
      <c r="AG289" s="430"/>
      <c r="AH289" s="181"/>
      <c r="AI289" s="194">
        <f>IF(COUNTA(SalCommune[[#This Row],[N°]:[heures annuelles
selon contrat(s)]])=0,"",REVEX!$E$9)</f>
        <v>0</v>
      </c>
      <c r="AJ289" s="72"/>
    </row>
    <row r="290" spans="1:36" x14ac:dyDescent="0.25">
      <c r="A290" s="72"/>
      <c r="B290" s="725" t="str">
        <f>IF(SalCommune[[#This Row],[Matricule]]="","",MAX($B$7:B289)+1)</f>
        <v/>
      </c>
      <c r="C290" s="8"/>
      <c r="D290" s="8"/>
      <c r="E290" s="20"/>
      <c r="F290" s="8"/>
      <c r="G290" s="8"/>
      <c r="H290" s="9"/>
      <c r="I290" s="9"/>
      <c r="J290" s="9"/>
      <c r="K290" s="714"/>
      <c r="L290" s="714"/>
      <c r="M290" s="9"/>
      <c r="N290" s="9"/>
      <c r="O290" s="9"/>
      <c r="P29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0" s="9"/>
      <c r="R290" s="9"/>
      <c r="S290" s="9"/>
      <c r="T290" s="37"/>
      <c r="U290" s="37"/>
      <c r="V290" s="37"/>
      <c r="W290" s="37"/>
      <c r="X290" s="37"/>
      <c r="Y290" s="37"/>
      <c r="Z29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0" s="37"/>
      <c r="AB290" s="713" t="str">
        <f>IF(COUNTA(SalCommune[[#This Row],[Nom]:[heures annuelles
selon contrat(s)]])=0,"",SalCommune[[#This Row],[Total global]]-ABS(SalCommune[[#This Row],[Dont non opposable]]))</f>
        <v/>
      </c>
      <c r="AC290" s="8"/>
      <c r="AD290" s="63"/>
      <c r="AE290" s="430"/>
      <c r="AF290" s="430"/>
      <c r="AG290" s="430"/>
      <c r="AH290" s="181"/>
      <c r="AI290" s="194">
        <f>IF(COUNTA(SalCommune[[#This Row],[N°]:[heures annuelles
selon contrat(s)]])=0,"",REVEX!$E$9)</f>
        <v>0</v>
      </c>
      <c r="AJ290" s="72"/>
    </row>
    <row r="291" spans="1:36" x14ac:dyDescent="0.25">
      <c r="A291" s="72"/>
      <c r="B291" s="725" t="str">
        <f>IF(SalCommune[[#This Row],[Matricule]]="","",MAX($B$7:B290)+1)</f>
        <v/>
      </c>
      <c r="C291" s="8"/>
      <c r="D291" s="8"/>
      <c r="E291" s="20"/>
      <c r="F291" s="8"/>
      <c r="G291" s="8"/>
      <c r="H291" s="9"/>
      <c r="I291" s="9"/>
      <c r="J291" s="9"/>
      <c r="K291" s="714"/>
      <c r="L291" s="714"/>
      <c r="M291" s="9"/>
      <c r="N291" s="9"/>
      <c r="O291" s="9"/>
      <c r="P29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1" s="9"/>
      <c r="R291" s="9"/>
      <c r="S291" s="9"/>
      <c r="T291" s="37"/>
      <c r="U291" s="37"/>
      <c r="V291" s="37"/>
      <c r="W291" s="37"/>
      <c r="X291" s="37"/>
      <c r="Y291" s="37"/>
      <c r="Z29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1" s="37"/>
      <c r="AB291" s="713" t="str">
        <f>IF(COUNTA(SalCommune[[#This Row],[Nom]:[heures annuelles
selon contrat(s)]])=0,"",SalCommune[[#This Row],[Total global]]-ABS(SalCommune[[#This Row],[Dont non opposable]]))</f>
        <v/>
      </c>
      <c r="AC291" s="8"/>
      <c r="AD291" s="63"/>
      <c r="AE291" s="430"/>
      <c r="AF291" s="430"/>
      <c r="AG291" s="430"/>
      <c r="AH291" s="181"/>
      <c r="AI291" s="194">
        <f>IF(COUNTA(SalCommune[[#This Row],[N°]:[heures annuelles
selon contrat(s)]])=0,"",REVEX!$E$9)</f>
        <v>0</v>
      </c>
      <c r="AJ291" s="72"/>
    </row>
    <row r="292" spans="1:36" x14ac:dyDescent="0.25">
      <c r="A292" s="72"/>
      <c r="B292" s="725" t="str">
        <f>IF(SalCommune[[#This Row],[Matricule]]="","",MAX($B$7:B291)+1)</f>
        <v/>
      </c>
      <c r="C292" s="8"/>
      <c r="D292" s="8"/>
      <c r="E292" s="20"/>
      <c r="F292" s="8"/>
      <c r="G292" s="8"/>
      <c r="H292" s="9"/>
      <c r="I292" s="9"/>
      <c r="J292" s="9"/>
      <c r="K292" s="714"/>
      <c r="L292" s="714"/>
      <c r="M292" s="9"/>
      <c r="N292" s="9"/>
      <c r="O292" s="9"/>
      <c r="P29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2" s="9"/>
      <c r="R292" s="9"/>
      <c r="S292" s="9"/>
      <c r="T292" s="37"/>
      <c r="U292" s="37"/>
      <c r="V292" s="37"/>
      <c r="W292" s="37"/>
      <c r="X292" s="37"/>
      <c r="Y292" s="37"/>
      <c r="Z29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2" s="37"/>
      <c r="AB292" s="713" t="str">
        <f>IF(COUNTA(SalCommune[[#This Row],[Nom]:[heures annuelles
selon contrat(s)]])=0,"",SalCommune[[#This Row],[Total global]]-ABS(SalCommune[[#This Row],[Dont non opposable]]))</f>
        <v/>
      </c>
      <c r="AC292" s="8"/>
      <c r="AD292" s="63"/>
      <c r="AE292" s="430"/>
      <c r="AF292" s="430"/>
      <c r="AG292" s="430"/>
      <c r="AH292" s="181"/>
      <c r="AI292" s="194">
        <f>IF(COUNTA(SalCommune[[#This Row],[N°]:[heures annuelles
selon contrat(s)]])=0,"",REVEX!$E$9)</f>
        <v>0</v>
      </c>
      <c r="AJ292" s="72"/>
    </row>
    <row r="293" spans="1:36" x14ac:dyDescent="0.25">
      <c r="A293" s="72"/>
      <c r="B293" s="725" t="str">
        <f>IF(SalCommune[[#This Row],[Matricule]]="","",MAX($B$7:B292)+1)</f>
        <v/>
      </c>
      <c r="C293" s="8"/>
      <c r="D293" s="8"/>
      <c r="E293" s="20"/>
      <c r="F293" s="8"/>
      <c r="G293" s="8"/>
      <c r="H293" s="9"/>
      <c r="I293" s="9"/>
      <c r="J293" s="9"/>
      <c r="K293" s="714"/>
      <c r="L293" s="714"/>
      <c r="M293" s="9"/>
      <c r="N293" s="9"/>
      <c r="O293" s="9"/>
      <c r="P29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3" s="9"/>
      <c r="R293" s="9"/>
      <c r="S293" s="9"/>
      <c r="T293" s="37"/>
      <c r="U293" s="37"/>
      <c r="V293" s="37"/>
      <c r="W293" s="37"/>
      <c r="X293" s="37"/>
      <c r="Y293" s="37"/>
      <c r="Z29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3" s="37"/>
      <c r="AB293" s="713" t="str">
        <f>IF(COUNTA(SalCommune[[#This Row],[Nom]:[heures annuelles
selon contrat(s)]])=0,"",SalCommune[[#This Row],[Total global]]-ABS(SalCommune[[#This Row],[Dont non opposable]]))</f>
        <v/>
      </c>
      <c r="AC293" s="8"/>
      <c r="AD293" s="63"/>
      <c r="AE293" s="430"/>
      <c r="AF293" s="430"/>
      <c r="AG293" s="430"/>
      <c r="AH293" s="181"/>
      <c r="AI293" s="194">
        <f>IF(COUNTA(SalCommune[[#This Row],[N°]:[heures annuelles
selon contrat(s)]])=0,"",REVEX!$E$9)</f>
        <v>0</v>
      </c>
      <c r="AJ293" s="72"/>
    </row>
    <row r="294" spans="1:36" x14ac:dyDescent="0.25">
      <c r="A294" s="72"/>
      <c r="B294" s="725" t="str">
        <f>IF(SalCommune[[#This Row],[Matricule]]="","",MAX($B$7:B293)+1)</f>
        <v/>
      </c>
      <c r="C294" s="8"/>
      <c r="D294" s="8"/>
      <c r="E294" s="20"/>
      <c r="F294" s="8"/>
      <c r="G294" s="8"/>
      <c r="H294" s="9"/>
      <c r="I294" s="9"/>
      <c r="J294" s="9"/>
      <c r="K294" s="714"/>
      <c r="L294" s="714"/>
      <c r="M294" s="9"/>
      <c r="N294" s="9"/>
      <c r="O294" s="9"/>
      <c r="P29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4" s="9"/>
      <c r="R294" s="9"/>
      <c r="S294" s="9"/>
      <c r="T294" s="37"/>
      <c r="U294" s="37"/>
      <c r="V294" s="37"/>
      <c r="W294" s="37"/>
      <c r="X294" s="37"/>
      <c r="Y294" s="37"/>
      <c r="Z29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4" s="37"/>
      <c r="AB294" s="713" t="str">
        <f>IF(COUNTA(SalCommune[[#This Row],[Nom]:[heures annuelles
selon contrat(s)]])=0,"",SalCommune[[#This Row],[Total global]]-ABS(SalCommune[[#This Row],[Dont non opposable]]))</f>
        <v/>
      </c>
      <c r="AC294" s="8"/>
      <c r="AD294" s="63"/>
      <c r="AE294" s="430"/>
      <c r="AF294" s="430"/>
      <c r="AG294" s="430"/>
      <c r="AH294" s="181"/>
      <c r="AI294" s="194">
        <f>IF(COUNTA(SalCommune[[#This Row],[N°]:[heures annuelles
selon contrat(s)]])=0,"",REVEX!$E$9)</f>
        <v>0</v>
      </c>
      <c r="AJ294" s="72"/>
    </row>
    <row r="295" spans="1:36" x14ac:dyDescent="0.25">
      <c r="A295" s="72"/>
      <c r="B295" s="725" t="str">
        <f>IF(SalCommune[[#This Row],[Matricule]]="","",MAX($B$7:B294)+1)</f>
        <v/>
      </c>
      <c r="C295" s="8"/>
      <c r="D295" s="8"/>
      <c r="E295" s="20"/>
      <c r="F295" s="8"/>
      <c r="G295" s="8"/>
      <c r="H295" s="9"/>
      <c r="I295" s="9"/>
      <c r="J295" s="9"/>
      <c r="K295" s="714"/>
      <c r="L295" s="714"/>
      <c r="M295" s="9"/>
      <c r="N295" s="9"/>
      <c r="O295" s="9"/>
      <c r="P29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5" s="9"/>
      <c r="R295" s="9"/>
      <c r="S295" s="9"/>
      <c r="T295" s="37"/>
      <c r="U295" s="37"/>
      <c r="V295" s="37"/>
      <c r="W295" s="37"/>
      <c r="X295" s="37"/>
      <c r="Y295" s="37"/>
      <c r="Z29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5" s="37"/>
      <c r="AB295" s="713" t="str">
        <f>IF(COUNTA(SalCommune[[#This Row],[Nom]:[heures annuelles
selon contrat(s)]])=0,"",SalCommune[[#This Row],[Total global]]-ABS(SalCommune[[#This Row],[Dont non opposable]]))</f>
        <v/>
      </c>
      <c r="AC295" s="8"/>
      <c r="AD295" s="63"/>
      <c r="AE295" s="430"/>
      <c r="AF295" s="430"/>
      <c r="AG295" s="430"/>
      <c r="AH295" s="181"/>
      <c r="AI295" s="194">
        <f>IF(COUNTA(SalCommune[[#This Row],[N°]:[heures annuelles
selon contrat(s)]])=0,"",REVEX!$E$9)</f>
        <v>0</v>
      </c>
      <c r="AJ295" s="72"/>
    </row>
    <row r="296" spans="1:36" x14ac:dyDescent="0.25">
      <c r="A296" s="72"/>
      <c r="B296" s="725" t="str">
        <f>IF(SalCommune[[#This Row],[Matricule]]="","",MAX($B$7:B295)+1)</f>
        <v/>
      </c>
      <c r="C296" s="8"/>
      <c r="D296" s="8"/>
      <c r="E296" s="20"/>
      <c r="F296" s="8"/>
      <c r="G296" s="8"/>
      <c r="H296" s="9"/>
      <c r="I296" s="9"/>
      <c r="J296" s="9"/>
      <c r="K296" s="714"/>
      <c r="L296" s="714"/>
      <c r="M296" s="9"/>
      <c r="N296" s="9"/>
      <c r="O296" s="9"/>
      <c r="P29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6" s="9"/>
      <c r="R296" s="9"/>
      <c r="S296" s="9"/>
      <c r="T296" s="37"/>
      <c r="U296" s="37"/>
      <c r="V296" s="37"/>
      <c r="W296" s="37"/>
      <c r="X296" s="37"/>
      <c r="Y296" s="37"/>
      <c r="Z29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6" s="37"/>
      <c r="AB296" s="713" t="str">
        <f>IF(COUNTA(SalCommune[[#This Row],[Nom]:[heures annuelles
selon contrat(s)]])=0,"",SalCommune[[#This Row],[Total global]]-ABS(SalCommune[[#This Row],[Dont non opposable]]))</f>
        <v/>
      </c>
      <c r="AC296" s="8"/>
      <c r="AD296" s="63"/>
      <c r="AE296" s="430"/>
      <c r="AF296" s="430"/>
      <c r="AG296" s="430"/>
      <c r="AH296" s="181"/>
      <c r="AI296" s="194">
        <f>IF(COUNTA(SalCommune[[#This Row],[N°]:[heures annuelles
selon contrat(s)]])=0,"",REVEX!$E$9)</f>
        <v>0</v>
      </c>
      <c r="AJ296" s="72"/>
    </row>
    <row r="297" spans="1:36" x14ac:dyDescent="0.25">
      <c r="A297" s="72"/>
      <c r="B297" s="725" t="str">
        <f>IF(SalCommune[[#This Row],[Matricule]]="","",MAX($B$7:B296)+1)</f>
        <v/>
      </c>
      <c r="C297" s="8"/>
      <c r="D297" s="8"/>
      <c r="E297" s="20"/>
      <c r="F297" s="8"/>
      <c r="G297" s="8"/>
      <c r="H297" s="9"/>
      <c r="I297" s="9"/>
      <c r="J297" s="9"/>
      <c r="K297" s="714"/>
      <c r="L297" s="714"/>
      <c r="M297" s="9"/>
      <c r="N297" s="9"/>
      <c r="O297" s="9"/>
      <c r="P29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7" s="9"/>
      <c r="R297" s="9"/>
      <c r="S297" s="9"/>
      <c r="T297" s="37"/>
      <c r="U297" s="37"/>
      <c r="V297" s="37"/>
      <c r="W297" s="37"/>
      <c r="X297" s="37"/>
      <c r="Y297" s="37"/>
      <c r="Z29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7" s="37"/>
      <c r="AB297" s="713" t="str">
        <f>IF(COUNTA(SalCommune[[#This Row],[Nom]:[heures annuelles
selon contrat(s)]])=0,"",SalCommune[[#This Row],[Total global]]-ABS(SalCommune[[#This Row],[Dont non opposable]]))</f>
        <v/>
      </c>
      <c r="AC297" s="8"/>
      <c r="AD297" s="63"/>
      <c r="AE297" s="430"/>
      <c r="AF297" s="430"/>
      <c r="AG297" s="430"/>
      <c r="AH297" s="181"/>
      <c r="AI297" s="194">
        <f>IF(COUNTA(SalCommune[[#This Row],[N°]:[heures annuelles
selon contrat(s)]])=0,"",REVEX!$E$9)</f>
        <v>0</v>
      </c>
      <c r="AJ297" s="72"/>
    </row>
    <row r="298" spans="1:36" x14ac:dyDescent="0.25">
      <c r="A298" s="72"/>
      <c r="B298" s="725" t="str">
        <f>IF(SalCommune[[#This Row],[Matricule]]="","",MAX($B$7:B297)+1)</f>
        <v/>
      </c>
      <c r="C298" s="8"/>
      <c r="D298" s="8"/>
      <c r="E298" s="20"/>
      <c r="F298" s="8"/>
      <c r="G298" s="8"/>
      <c r="H298" s="9"/>
      <c r="I298" s="9"/>
      <c r="J298" s="9"/>
      <c r="K298" s="714"/>
      <c r="L298" s="714"/>
      <c r="M298" s="9"/>
      <c r="N298" s="9"/>
      <c r="O298" s="9"/>
      <c r="P29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8" s="9"/>
      <c r="R298" s="9"/>
      <c r="S298" s="9"/>
      <c r="T298" s="37"/>
      <c r="U298" s="37"/>
      <c r="V298" s="37"/>
      <c r="W298" s="37"/>
      <c r="X298" s="37"/>
      <c r="Y298" s="37"/>
      <c r="Z29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8" s="37"/>
      <c r="AB298" s="713" t="str">
        <f>IF(COUNTA(SalCommune[[#This Row],[Nom]:[heures annuelles
selon contrat(s)]])=0,"",SalCommune[[#This Row],[Total global]]-ABS(SalCommune[[#This Row],[Dont non opposable]]))</f>
        <v/>
      </c>
      <c r="AC298" s="8"/>
      <c r="AD298" s="63"/>
      <c r="AE298" s="430"/>
      <c r="AF298" s="430"/>
      <c r="AG298" s="430"/>
      <c r="AH298" s="181"/>
      <c r="AI298" s="194">
        <f>IF(COUNTA(SalCommune[[#This Row],[N°]:[heures annuelles
selon contrat(s)]])=0,"",REVEX!$E$9)</f>
        <v>0</v>
      </c>
      <c r="AJ298" s="72"/>
    </row>
    <row r="299" spans="1:36" x14ac:dyDescent="0.25">
      <c r="A299" s="72"/>
      <c r="B299" s="725" t="str">
        <f>IF(SalCommune[[#This Row],[Matricule]]="","",MAX($B$7:B298)+1)</f>
        <v/>
      </c>
      <c r="C299" s="8"/>
      <c r="D299" s="8"/>
      <c r="E299" s="20"/>
      <c r="F299" s="8"/>
      <c r="G299" s="8"/>
      <c r="H299" s="9"/>
      <c r="I299" s="9"/>
      <c r="J299" s="9"/>
      <c r="K299" s="714"/>
      <c r="L299" s="714"/>
      <c r="M299" s="9"/>
      <c r="N299" s="9"/>
      <c r="O299" s="9"/>
      <c r="P29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299" s="9"/>
      <c r="R299" s="9"/>
      <c r="S299" s="9"/>
      <c r="T299" s="37"/>
      <c r="U299" s="37"/>
      <c r="V299" s="37"/>
      <c r="W299" s="37"/>
      <c r="X299" s="37"/>
      <c r="Y299" s="37"/>
      <c r="Z29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299" s="37"/>
      <c r="AB299" s="713" t="str">
        <f>IF(COUNTA(SalCommune[[#This Row],[Nom]:[heures annuelles
selon contrat(s)]])=0,"",SalCommune[[#This Row],[Total global]]-ABS(SalCommune[[#This Row],[Dont non opposable]]))</f>
        <v/>
      </c>
      <c r="AC299" s="8"/>
      <c r="AD299" s="63"/>
      <c r="AE299" s="430"/>
      <c r="AF299" s="430"/>
      <c r="AG299" s="430"/>
      <c r="AH299" s="181"/>
      <c r="AI299" s="194">
        <f>IF(COUNTA(SalCommune[[#This Row],[N°]:[heures annuelles
selon contrat(s)]])=0,"",REVEX!$E$9)</f>
        <v>0</v>
      </c>
      <c r="AJ299" s="72"/>
    </row>
    <row r="300" spans="1:36" x14ac:dyDescent="0.25">
      <c r="A300" s="72"/>
      <c r="B300" s="725" t="str">
        <f>IF(SalCommune[[#This Row],[Matricule]]="","",MAX($B$7:B299)+1)</f>
        <v/>
      </c>
      <c r="C300" s="8"/>
      <c r="D300" s="8"/>
      <c r="E300" s="20"/>
      <c r="F300" s="8"/>
      <c r="G300" s="8"/>
      <c r="H300" s="9"/>
      <c r="I300" s="9"/>
      <c r="J300" s="9"/>
      <c r="K300" s="714"/>
      <c r="L300" s="714"/>
      <c r="M300" s="9"/>
      <c r="N300" s="9"/>
      <c r="O300" s="9"/>
      <c r="P30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0" s="9"/>
      <c r="R300" s="9"/>
      <c r="S300" s="9"/>
      <c r="T300" s="37"/>
      <c r="U300" s="37"/>
      <c r="V300" s="37"/>
      <c r="W300" s="37"/>
      <c r="X300" s="37"/>
      <c r="Y300" s="37"/>
      <c r="Z30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0" s="37"/>
      <c r="AB300" s="713" t="str">
        <f>IF(COUNTA(SalCommune[[#This Row],[Nom]:[heures annuelles
selon contrat(s)]])=0,"",SalCommune[[#This Row],[Total global]]-ABS(SalCommune[[#This Row],[Dont non opposable]]))</f>
        <v/>
      </c>
      <c r="AC300" s="8"/>
      <c r="AD300" s="63"/>
      <c r="AE300" s="430"/>
      <c r="AF300" s="430"/>
      <c r="AG300" s="430"/>
      <c r="AH300" s="181"/>
      <c r="AI300" s="194">
        <f>IF(COUNTA(SalCommune[[#This Row],[N°]:[heures annuelles
selon contrat(s)]])=0,"",REVEX!$E$9)</f>
        <v>0</v>
      </c>
      <c r="AJ300" s="72"/>
    </row>
    <row r="301" spans="1:36" x14ac:dyDescent="0.25">
      <c r="A301" s="72"/>
      <c r="B301" s="725" t="str">
        <f>IF(SalCommune[[#This Row],[Matricule]]="","",MAX($B$7:B300)+1)</f>
        <v/>
      </c>
      <c r="C301" s="8"/>
      <c r="D301" s="8"/>
      <c r="E301" s="20"/>
      <c r="F301" s="8"/>
      <c r="G301" s="8"/>
      <c r="H301" s="9"/>
      <c r="I301" s="9"/>
      <c r="J301" s="9"/>
      <c r="K301" s="714"/>
      <c r="L301" s="714"/>
      <c r="M301" s="9"/>
      <c r="N301" s="9"/>
      <c r="O301" s="9"/>
      <c r="P30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1" s="9"/>
      <c r="R301" s="9"/>
      <c r="S301" s="9"/>
      <c r="T301" s="37"/>
      <c r="U301" s="37"/>
      <c r="V301" s="37"/>
      <c r="W301" s="37"/>
      <c r="X301" s="37"/>
      <c r="Y301" s="37"/>
      <c r="Z30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1" s="37"/>
      <c r="AB301" s="713" t="str">
        <f>IF(COUNTA(SalCommune[[#This Row],[Nom]:[heures annuelles
selon contrat(s)]])=0,"",SalCommune[[#This Row],[Total global]]-ABS(SalCommune[[#This Row],[Dont non opposable]]))</f>
        <v/>
      </c>
      <c r="AC301" s="8"/>
      <c r="AD301" s="63"/>
      <c r="AE301" s="430"/>
      <c r="AF301" s="430"/>
      <c r="AG301" s="430"/>
      <c r="AH301" s="181"/>
      <c r="AI301" s="194">
        <f>IF(COUNTA(SalCommune[[#This Row],[N°]:[heures annuelles
selon contrat(s)]])=0,"",REVEX!$E$9)</f>
        <v>0</v>
      </c>
      <c r="AJ301" s="72"/>
    </row>
    <row r="302" spans="1:36" x14ac:dyDescent="0.25">
      <c r="A302" s="72"/>
      <c r="B302" s="725" t="str">
        <f>IF(SalCommune[[#This Row],[Matricule]]="","",MAX($B$7:B301)+1)</f>
        <v/>
      </c>
      <c r="C302" s="8"/>
      <c r="D302" s="8"/>
      <c r="E302" s="20"/>
      <c r="F302" s="8"/>
      <c r="G302" s="8"/>
      <c r="H302" s="9"/>
      <c r="I302" s="9"/>
      <c r="J302" s="9"/>
      <c r="K302" s="714"/>
      <c r="L302" s="714"/>
      <c r="M302" s="9"/>
      <c r="N302" s="9"/>
      <c r="O302" s="9"/>
      <c r="P30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2" s="9"/>
      <c r="R302" s="9"/>
      <c r="S302" s="9"/>
      <c r="T302" s="37"/>
      <c r="U302" s="37"/>
      <c r="V302" s="37"/>
      <c r="W302" s="37"/>
      <c r="X302" s="37"/>
      <c r="Y302" s="37"/>
      <c r="Z30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2" s="37"/>
      <c r="AB302" s="713" t="str">
        <f>IF(COUNTA(SalCommune[[#This Row],[Nom]:[heures annuelles
selon contrat(s)]])=0,"",SalCommune[[#This Row],[Total global]]-ABS(SalCommune[[#This Row],[Dont non opposable]]))</f>
        <v/>
      </c>
      <c r="AC302" s="8"/>
      <c r="AD302" s="63"/>
      <c r="AE302" s="430"/>
      <c r="AF302" s="430"/>
      <c r="AG302" s="430"/>
      <c r="AH302" s="181"/>
      <c r="AI302" s="194">
        <f>IF(COUNTA(SalCommune[[#This Row],[N°]:[heures annuelles
selon contrat(s)]])=0,"",REVEX!$E$9)</f>
        <v>0</v>
      </c>
      <c r="AJ302" s="72"/>
    </row>
    <row r="303" spans="1:36" x14ac:dyDescent="0.25">
      <c r="A303" s="72"/>
      <c r="B303" s="725" t="str">
        <f>IF(SalCommune[[#This Row],[Matricule]]="","",MAX($B$7:B302)+1)</f>
        <v/>
      </c>
      <c r="C303" s="8"/>
      <c r="D303" s="8"/>
      <c r="E303" s="20"/>
      <c r="F303" s="8"/>
      <c r="G303" s="8"/>
      <c r="H303" s="9"/>
      <c r="I303" s="9"/>
      <c r="J303" s="9"/>
      <c r="K303" s="714"/>
      <c r="L303" s="714"/>
      <c r="M303" s="9"/>
      <c r="N303" s="9"/>
      <c r="O303" s="9"/>
      <c r="P30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3" s="9"/>
      <c r="R303" s="9"/>
      <c r="S303" s="9"/>
      <c r="T303" s="37"/>
      <c r="U303" s="37"/>
      <c r="V303" s="37"/>
      <c r="W303" s="37"/>
      <c r="X303" s="37"/>
      <c r="Y303" s="37"/>
      <c r="Z30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3" s="37"/>
      <c r="AB303" s="713" t="str">
        <f>IF(COUNTA(SalCommune[[#This Row],[Nom]:[heures annuelles
selon contrat(s)]])=0,"",SalCommune[[#This Row],[Total global]]-ABS(SalCommune[[#This Row],[Dont non opposable]]))</f>
        <v/>
      </c>
      <c r="AC303" s="8"/>
      <c r="AD303" s="63"/>
      <c r="AE303" s="430"/>
      <c r="AF303" s="430"/>
      <c r="AG303" s="430"/>
      <c r="AH303" s="181"/>
      <c r="AI303" s="194">
        <f>IF(COUNTA(SalCommune[[#This Row],[N°]:[heures annuelles
selon contrat(s)]])=0,"",REVEX!$E$9)</f>
        <v>0</v>
      </c>
      <c r="AJ303" s="72"/>
    </row>
    <row r="304" spans="1:36" x14ac:dyDescent="0.25">
      <c r="A304" s="72"/>
      <c r="B304" s="725" t="str">
        <f>IF(SalCommune[[#This Row],[Matricule]]="","",MAX($B$7:B303)+1)</f>
        <v/>
      </c>
      <c r="C304" s="8"/>
      <c r="D304" s="8"/>
      <c r="E304" s="20"/>
      <c r="F304" s="8"/>
      <c r="G304" s="8"/>
      <c r="H304" s="9"/>
      <c r="I304" s="9"/>
      <c r="J304" s="9"/>
      <c r="K304" s="714"/>
      <c r="L304" s="714"/>
      <c r="M304" s="9"/>
      <c r="N304" s="9"/>
      <c r="O304" s="9"/>
      <c r="P30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4" s="9"/>
      <c r="R304" s="9"/>
      <c r="S304" s="9"/>
      <c r="T304" s="37"/>
      <c r="U304" s="37"/>
      <c r="V304" s="37"/>
      <c r="W304" s="37"/>
      <c r="X304" s="37"/>
      <c r="Y304" s="37"/>
      <c r="Z30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4" s="37"/>
      <c r="AB304" s="713" t="str">
        <f>IF(COUNTA(SalCommune[[#This Row],[Nom]:[heures annuelles
selon contrat(s)]])=0,"",SalCommune[[#This Row],[Total global]]-ABS(SalCommune[[#This Row],[Dont non opposable]]))</f>
        <v/>
      </c>
      <c r="AC304" s="8"/>
      <c r="AD304" s="63"/>
      <c r="AE304" s="430"/>
      <c r="AF304" s="430"/>
      <c r="AG304" s="430"/>
      <c r="AH304" s="181"/>
      <c r="AI304" s="194">
        <f>IF(COUNTA(SalCommune[[#This Row],[N°]:[heures annuelles
selon contrat(s)]])=0,"",REVEX!$E$9)</f>
        <v>0</v>
      </c>
      <c r="AJ304" s="72"/>
    </row>
    <row r="305" spans="1:36" x14ac:dyDescent="0.25">
      <c r="A305" s="72"/>
      <c r="B305" s="725" t="str">
        <f>IF(SalCommune[[#This Row],[Matricule]]="","",MAX($B$7:B304)+1)</f>
        <v/>
      </c>
      <c r="C305" s="8"/>
      <c r="D305" s="8"/>
      <c r="E305" s="20"/>
      <c r="F305" s="8"/>
      <c r="G305" s="8"/>
      <c r="H305" s="9"/>
      <c r="I305" s="9"/>
      <c r="J305" s="9"/>
      <c r="K305" s="714"/>
      <c r="L305" s="714"/>
      <c r="M305" s="9"/>
      <c r="N305" s="9"/>
      <c r="O305" s="9"/>
      <c r="P30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5" s="9"/>
      <c r="R305" s="9"/>
      <c r="S305" s="9"/>
      <c r="T305" s="37"/>
      <c r="U305" s="37"/>
      <c r="V305" s="37"/>
      <c r="W305" s="37"/>
      <c r="X305" s="37"/>
      <c r="Y305" s="37"/>
      <c r="Z30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5" s="37"/>
      <c r="AB305" s="713" t="str">
        <f>IF(COUNTA(SalCommune[[#This Row],[Nom]:[heures annuelles
selon contrat(s)]])=0,"",SalCommune[[#This Row],[Total global]]-ABS(SalCommune[[#This Row],[Dont non opposable]]))</f>
        <v/>
      </c>
      <c r="AC305" s="8"/>
      <c r="AD305" s="63"/>
      <c r="AE305" s="430"/>
      <c r="AF305" s="430"/>
      <c r="AG305" s="430"/>
      <c r="AH305" s="181"/>
      <c r="AI305" s="194">
        <f>IF(COUNTA(SalCommune[[#This Row],[N°]:[heures annuelles
selon contrat(s)]])=0,"",REVEX!$E$9)</f>
        <v>0</v>
      </c>
      <c r="AJ305" s="72"/>
    </row>
    <row r="306" spans="1:36" x14ac:dyDescent="0.25">
      <c r="A306" s="72"/>
      <c r="B306" s="725" t="str">
        <f>IF(SalCommune[[#This Row],[Matricule]]="","",MAX($B$7:B305)+1)</f>
        <v/>
      </c>
      <c r="C306" s="8"/>
      <c r="D306" s="8"/>
      <c r="E306" s="20"/>
      <c r="F306" s="8"/>
      <c r="G306" s="8"/>
      <c r="H306" s="9"/>
      <c r="I306" s="9"/>
      <c r="J306" s="9"/>
      <c r="K306" s="714"/>
      <c r="L306" s="714"/>
      <c r="M306" s="9"/>
      <c r="N306" s="9"/>
      <c r="O306" s="9"/>
      <c r="P30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6" s="9"/>
      <c r="R306" s="9"/>
      <c r="S306" s="9"/>
      <c r="T306" s="37"/>
      <c r="U306" s="37"/>
      <c r="V306" s="37"/>
      <c r="W306" s="37"/>
      <c r="X306" s="37"/>
      <c r="Y306" s="37"/>
      <c r="Z30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6" s="37"/>
      <c r="AB306" s="713" t="str">
        <f>IF(COUNTA(SalCommune[[#This Row],[Nom]:[heures annuelles
selon contrat(s)]])=0,"",SalCommune[[#This Row],[Total global]]-ABS(SalCommune[[#This Row],[Dont non opposable]]))</f>
        <v/>
      </c>
      <c r="AC306" s="8"/>
      <c r="AD306" s="63"/>
      <c r="AE306" s="430"/>
      <c r="AF306" s="430"/>
      <c r="AG306" s="430"/>
      <c r="AH306" s="181"/>
      <c r="AI306" s="194">
        <f>IF(COUNTA(SalCommune[[#This Row],[N°]:[heures annuelles
selon contrat(s)]])=0,"",REVEX!$E$9)</f>
        <v>0</v>
      </c>
      <c r="AJ306" s="72"/>
    </row>
    <row r="307" spans="1:36" x14ac:dyDescent="0.25">
      <c r="A307" s="72"/>
      <c r="B307" s="725" t="str">
        <f>IF(SalCommune[[#This Row],[Matricule]]="","",MAX($B$7:B306)+1)</f>
        <v/>
      </c>
      <c r="C307" s="8"/>
      <c r="D307" s="8"/>
      <c r="E307" s="20"/>
      <c r="F307" s="8"/>
      <c r="G307" s="8"/>
      <c r="H307" s="9"/>
      <c r="I307" s="9"/>
      <c r="J307" s="9"/>
      <c r="K307" s="714"/>
      <c r="L307" s="714"/>
      <c r="M307" s="9"/>
      <c r="N307" s="9"/>
      <c r="O307" s="9"/>
      <c r="P30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7" s="9"/>
      <c r="R307" s="9"/>
      <c r="S307" s="9"/>
      <c r="T307" s="37"/>
      <c r="U307" s="37"/>
      <c r="V307" s="37"/>
      <c r="W307" s="37"/>
      <c r="X307" s="37"/>
      <c r="Y307" s="37"/>
      <c r="Z30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7" s="37"/>
      <c r="AB307" s="713" t="str">
        <f>IF(COUNTA(SalCommune[[#This Row],[Nom]:[heures annuelles
selon contrat(s)]])=0,"",SalCommune[[#This Row],[Total global]]-ABS(SalCommune[[#This Row],[Dont non opposable]]))</f>
        <v/>
      </c>
      <c r="AC307" s="8"/>
      <c r="AD307" s="63"/>
      <c r="AE307" s="430"/>
      <c r="AF307" s="430"/>
      <c r="AG307" s="430"/>
      <c r="AH307" s="181"/>
      <c r="AI307" s="194">
        <f>IF(COUNTA(SalCommune[[#This Row],[N°]:[heures annuelles
selon contrat(s)]])=0,"",REVEX!$E$9)</f>
        <v>0</v>
      </c>
      <c r="AJ307" s="72"/>
    </row>
    <row r="308" spans="1:36" x14ac:dyDescent="0.25">
      <c r="A308" s="72"/>
      <c r="B308" s="725" t="str">
        <f>IF(SalCommune[[#This Row],[Matricule]]="","",MAX($B$7:B307)+1)</f>
        <v/>
      </c>
      <c r="C308" s="8"/>
      <c r="D308" s="8"/>
      <c r="E308" s="20"/>
      <c r="F308" s="8"/>
      <c r="G308" s="8"/>
      <c r="H308" s="9"/>
      <c r="I308" s="9"/>
      <c r="J308" s="9"/>
      <c r="K308" s="714"/>
      <c r="L308" s="714"/>
      <c r="M308" s="9"/>
      <c r="N308" s="9"/>
      <c r="O308" s="9"/>
      <c r="P30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8" s="9"/>
      <c r="R308" s="9"/>
      <c r="S308" s="9"/>
      <c r="T308" s="37"/>
      <c r="U308" s="37"/>
      <c r="V308" s="37"/>
      <c r="W308" s="37"/>
      <c r="X308" s="37"/>
      <c r="Y308" s="37"/>
      <c r="Z30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8" s="37"/>
      <c r="AB308" s="713" t="str">
        <f>IF(COUNTA(SalCommune[[#This Row],[Nom]:[heures annuelles
selon contrat(s)]])=0,"",SalCommune[[#This Row],[Total global]]-ABS(SalCommune[[#This Row],[Dont non opposable]]))</f>
        <v/>
      </c>
      <c r="AC308" s="8"/>
      <c r="AD308" s="63"/>
      <c r="AE308" s="430"/>
      <c r="AF308" s="430"/>
      <c r="AG308" s="430"/>
      <c r="AH308" s="181"/>
      <c r="AI308" s="194">
        <f>IF(COUNTA(SalCommune[[#This Row],[N°]:[heures annuelles
selon contrat(s)]])=0,"",REVEX!$E$9)</f>
        <v>0</v>
      </c>
      <c r="AJ308" s="72"/>
    </row>
    <row r="309" spans="1:36" x14ac:dyDescent="0.25">
      <c r="A309" s="72"/>
      <c r="B309" s="725" t="str">
        <f>IF(SalCommune[[#This Row],[Matricule]]="","",MAX($B$7:B308)+1)</f>
        <v/>
      </c>
      <c r="C309" s="8"/>
      <c r="D309" s="8"/>
      <c r="E309" s="20"/>
      <c r="F309" s="8"/>
      <c r="G309" s="8"/>
      <c r="H309" s="9"/>
      <c r="I309" s="9"/>
      <c r="J309" s="9"/>
      <c r="K309" s="714"/>
      <c r="L309" s="714"/>
      <c r="M309" s="9"/>
      <c r="N309" s="9"/>
      <c r="O309" s="9"/>
      <c r="P30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09" s="9"/>
      <c r="R309" s="9"/>
      <c r="S309" s="9"/>
      <c r="T309" s="37"/>
      <c r="U309" s="37"/>
      <c r="V309" s="37"/>
      <c r="W309" s="37"/>
      <c r="X309" s="37"/>
      <c r="Y309" s="37"/>
      <c r="Z30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09" s="37"/>
      <c r="AB309" s="713" t="str">
        <f>IF(COUNTA(SalCommune[[#This Row],[Nom]:[heures annuelles
selon contrat(s)]])=0,"",SalCommune[[#This Row],[Total global]]-ABS(SalCommune[[#This Row],[Dont non opposable]]))</f>
        <v/>
      </c>
      <c r="AC309" s="8"/>
      <c r="AD309" s="63"/>
      <c r="AE309" s="430"/>
      <c r="AF309" s="430"/>
      <c r="AG309" s="430"/>
      <c r="AH309" s="181"/>
      <c r="AI309" s="194">
        <f>IF(COUNTA(SalCommune[[#This Row],[N°]:[heures annuelles
selon contrat(s)]])=0,"",REVEX!$E$9)</f>
        <v>0</v>
      </c>
      <c r="AJ309" s="72"/>
    </row>
    <row r="310" spans="1:36" x14ac:dyDescent="0.25">
      <c r="A310" s="72"/>
      <c r="B310" s="725" t="str">
        <f>IF(SalCommune[[#This Row],[Matricule]]="","",MAX($B$7:B309)+1)</f>
        <v/>
      </c>
      <c r="C310" s="8"/>
      <c r="D310" s="8"/>
      <c r="E310" s="20"/>
      <c r="F310" s="8"/>
      <c r="G310" s="8"/>
      <c r="H310" s="9"/>
      <c r="I310" s="9"/>
      <c r="J310" s="9"/>
      <c r="K310" s="714"/>
      <c r="L310" s="714"/>
      <c r="M310" s="9"/>
      <c r="N310" s="9"/>
      <c r="O310" s="9"/>
      <c r="P31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0" s="9"/>
      <c r="R310" s="9"/>
      <c r="S310" s="9"/>
      <c r="T310" s="37"/>
      <c r="U310" s="37"/>
      <c r="V310" s="37"/>
      <c r="W310" s="37"/>
      <c r="X310" s="37"/>
      <c r="Y310" s="37"/>
      <c r="Z31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0" s="37"/>
      <c r="AB310" s="713" t="str">
        <f>IF(COUNTA(SalCommune[[#This Row],[Nom]:[heures annuelles
selon contrat(s)]])=0,"",SalCommune[[#This Row],[Total global]]-ABS(SalCommune[[#This Row],[Dont non opposable]]))</f>
        <v/>
      </c>
      <c r="AC310" s="8"/>
      <c r="AD310" s="63"/>
      <c r="AE310" s="430"/>
      <c r="AF310" s="430"/>
      <c r="AG310" s="430"/>
      <c r="AH310" s="181"/>
      <c r="AI310" s="194">
        <f>IF(COUNTA(SalCommune[[#This Row],[N°]:[heures annuelles
selon contrat(s)]])=0,"",REVEX!$E$9)</f>
        <v>0</v>
      </c>
      <c r="AJ310" s="72"/>
    </row>
    <row r="311" spans="1:36" x14ac:dyDescent="0.25">
      <c r="A311" s="72"/>
      <c r="B311" s="725" t="str">
        <f>IF(SalCommune[[#This Row],[Matricule]]="","",MAX($B$7:B310)+1)</f>
        <v/>
      </c>
      <c r="C311" s="8"/>
      <c r="D311" s="8"/>
      <c r="E311" s="20"/>
      <c r="F311" s="8"/>
      <c r="G311" s="8"/>
      <c r="H311" s="9"/>
      <c r="I311" s="9"/>
      <c r="J311" s="9"/>
      <c r="K311" s="714"/>
      <c r="L311" s="714"/>
      <c r="M311" s="9"/>
      <c r="N311" s="9"/>
      <c r="O311" s="9"/>
      <c r="P31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1" s="9"/>
      <c r="R311" s="9"/>
      <c r="S311" s="9"/>
      <c r="T311" s="37"/>
      <c r="U311" s="37"/>
      <c r="V311" s="37"/>
      <c r="W311" s="37"/>
      <c r="X311" s="37"/>
      <c r="Y311" s="37"/>
      <c r="Z31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1" s="37"/>
      <c r="AB311" s="713" t="str">
        <f>IF(COUNTA(SalCommune[[#This Row],[Nom]:[heures annuelles
selon contrat(s)]])=0,"",SalCommune[[#This Row],[Total global]]-ABS(SalCommune[[#This Row],[Dont non opposable]]))</f>
        <v/>
      </c>
      <c r="AC311" s="8"/>
      <c r="AD311" s="63"/>
      <c r="AE311" s="430"/>
      <c r="AF311" s="430"/>
      <c r="AG311" s="430"/>
      <c r="AH311" s="181"/>
      <c r="AI311" s="194">
        <f>IF(COUNTA(SalCommune[[#This Row],[N°]:[heures annuelles
selon contrat(s)]])=0,"",REVEX!$E$9)</f>
        <v>0</v>
      </c>
      <c r="AJ311" s="72"/>
    </row>
    <row r="312" spans="1:36" x14ac:dyDescent="0.25">
      <c r="A312" s="72"/>
      <c r="B312" s="725" t="str">
        <f>IF(SalCommune[[#This Row],[Matricule]]="","",MAX($B$7:B311)+1)</f>
        <v/>
      </c>
      <c r="C312" s="8"/>
      <c r="D312" s="8"/>
      <c r="E312" s="20"/>
      <c r="F312" s="8"/>
      <c r="G312" s="8"/>
      <c r="H312" s="9"/>
      <c r="I312" s="9"/>
      <c r="J312" s="9"/>
      <c r="K312" s="714"/>
      <c r="L312" s="714"/>
      <c r="M312" s="9"/>
      <c r="N312" s="9"/>
      <c r="O312" s="9"/>
      <c r="P31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2" s="9"/>
      <c r="R312" s="9"/>
      <c r="S312" s="9"/>
      <c r="T312" s="37"/>
      <c r="U312" s="37"/>
      <c r="V312" s="37"/>
      <c r="W312" s="37"/>
      <c r="X312" s="37"/>
      <c r="Y312" s="37"/>
      <c r="Z31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2" s="37"/>
      <c r="AB312" s="713" t="str">
        <f>IF(COUNTA(SalCommune[[#This Row],[Nom]:[heures annuelles
selon contrat(s)]])=0,"",SalCommune[[#This Row],[Total global]]-ABS(SalCommune[[#This Row],[Dont non opposable]]))</f>
        <v/>
      </c>
      <c r="AC312" s="8"/>
      <c r="AD312" s="63"/>
      <c r="AE312" s="430"/>
      <c r="AF312" s="430"/>
      <c r="AG312" s="430"/>
      <c r="AH312" s="181"/>
      <c r="AI312" s="194">
        <f>IF(COUNTA(SalCommune[[#This Row],[N°]:[heures annuelles
selon contrat(s)]])=0,"",REVEX!$E$9)</f>
        <v>0</v>
      </c>
      <c r="AJ312" s="72"/>
    </row>
    <row r="313" spans="1:36" x14ac:dyDescent="0.25">
      <c r="A313" s="72"/>
      <c r="B313" s="725" t="str">
        <f>IF(SalCommune[[#This Row],[Matricule]]="","",MAX($B$7:B312)+1)</f>
        <v/>
      </c>
      <c r="C313" s="8"/>
      <c r="D313" s="8"/>
      <c r="E313" s="20"/>
      <c r="F313" s="8"/>
      <c r="G313" s="8"/>
      <c r="H313" s="9"/>
      <c r="I313" s="9"/>
      <c r="J313" s="9"/>
      <c r="K313" s="714"/>
      <c r="L313" s="714"/>
      <c r="M313" s="9"/>
      <c r="N313" s="9"/>
      <c r="O313" s="9"/>
      <c r="P31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3" s="9"/>
      <c r="R313" s="9"/>
      <c r="S313" s="9"/>
      <c r="T313" s="37"/>
      <c r="U313" s="37"/>
      <c r="V313" s="37"/>
      <c r="W313" s="37"/>
      <c r="X313" s="37"/>
      <c r="Y313" s="37"/>
      <c r="Z31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3" s="37"/>
      <c r="AB313" s="713" t="str">
        <f>IF(COUNTA(SalCommune[[#This Row],[Nom]:[heures annuelles
selon contrat(s)]])=0,"",SalCommune[[#This Row],[Total global]]-ABS(SalCommune[[#This Row],[Dont non opposable]]))</f>
        <v/>
      </c>
      <c r="AC313" s="8"/>
      <c r="AD313" s="63"/>
      <c r="AE313" s="430"/>
      <c r="AF313" s="430"/>
      <c r="AG313" s="430"/>
      <c r="AH313" s="181"/>
      <c r="AI313" s="194">
        <f>IF(COUNTA(SalCommune[[#This Row],[N°]:[heures annuelles
selon contrat(s)]])=0,"",REVEX!$E$9)</f>
        <v>0</v>
      </c>
      <c r="AJ313" s="72"/>
    </row>
    <row r="314" spans="1:36" x14ac:dyDescent="0.25">
      <c r="A314" s="72"/>
      <c r="B314" s="725" t="str">
        <f>IF(SalCommune[[#This Row],[Matricule]]="","",MAX($B$7:B313)+1)</f>
        <v/>
      </c>
      <c r="C314" s="8"/>
      <c r="D314" s="8"/>
      <c r="E314" s="20"/>
      <c r="F314" s="8"/>
      <c r="G314" s="8"/>
      <c r="H314" s="9"/>
      <c r="I314" s="9"/>
      <c r="J314" s="9"/>
      <c r="K314" s="714"/>
      <c r="L314" s="714"/>
      <c r="M314" s="9"/>
      <c r="N314" s="9"/>
      <c r="O314" s="9"/>
      <c r="P31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4" s="9"/>
      <c r="R314" s="9"/>
      <c r="S314" s="9"/>
      <c r="T314" s="37"/>
      <c r="U314" s="37"/>
      <c r="V314" s="37"/>
      <c r="W314" s="37"/>
      <c r="X314" s="37"/>
      <c r="Y314" s="37"/>
      <c r="Z31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4" s="37"/>
      <c r="AB314" s="713" t="str">
        <f>IF(COUNTA(SalCommune[[#This Row],[Nom]:[heures annuelles
selon contrat(s)]])=0,"",SalCommune[[#This Row],[Total global]]-ABS(SalCommune[[#This Row],[Dont non opposable]]))</f>
        <v/>
      </c>
      <c r="AC314" s="8"/>
      <c r="AD314" s="63"/>
      <c r="AE314" s="430"/>
      <c r="AF314" s="430"/>
      <c r="AG314" s="430"/>
      <c r="AH314" s="181"/>
      <c r="AI314" s="194">
        <f>IF(COUNTA(SalCommune[[#This Row],[N°]:[heures annuelles
selon contrat(s)]])=0,"",REVEX!$E$9)</f>
        <v>0</v>
      </c>
      <c r="AJ314" s="72"/>
    </row>
    <row r="315" spans="1:36" x14ac:dyDescent="0.25">
      <c r="A315" s="72"/>
      <c r="B315" s="725" t="str">
        <f>IF(SalCommune[[#This Row],[Matricule]]="","",MAX($B$7:B314)+1)</f>
        <v/>
      </c>
      <c r="C315" s="8"/>
      <c r="D315" s="8"/>
      <c r="E315" s="20"/>
      <c r="F315" s="8"/>
      <c r="G315" s="8"/>
      <c r="H315" s="9"/>
      <c r="I315" s="9"/>
      <c r="J315" s="9"/>
      <c r="K315" s="714"/>
      <c r="L315" s="714"/>
      <c r="M315" s="9"/>
      <c r="N315" s="9"/>
      <c r="O315" s="9"/>
      <c r="P31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5" s="9"/>
      <c r="R315" s="9"/>
      <c r="S315" s="9"/>
      <c r="T315" s="37"/>
      <c r="U315" s="37"/>
      <c r="V315" s="37"/>
      <c r="W315" s="37"/>
      <c r="X315" s="37"/>
      <c r="Y315" s="37"/>
      <c r="Z31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5" s="37"/>
      <c r="AB315" s="713" t="str">
        <f>IF(COUNTA(SalCommune[[#This Row],[Nom]:[heures annuelles
selon contrat(s)]])=0,"",SalCommune[[#This Row],[Total global]]-ABS(SalCommune[[#This Row],[Dont non opposable]]))</f>
        <v/>
      </c>
      <c r="AC315" s="8"/>
      <c r="AD315" s="63"/>
      <c r="AE315" s="430"/>
      <c r="AF315" s="430"/>
      <c r="AG315" s="430"/>
      <c r="AH315" s="181"/>
      <c r="AI315" s="194">
        <f>IF(COUNTA(SalCommune[[#This Row],[N°]:[heures annuelles
selon contrat(s)]])=0,"",REVEX!$E$9)</f>
        <v>0</v>
      </c>
      <c r="AJ315" s="72"/>
    </row>
    <row r="316" spans="1:36" x14ac:dyDescent="0.25">
      <c r="A316" s="72"/>
      <c r="B316" s="725" t="str">
        <f>IF(SalCommune[[#This Row],[Matricule]]="","",MAX($B$7:B315)+1)</f>
        <v/>
      </c>
      <c r="C316" s="8"/>
      <c r="D316" s="8"/>
      <c r="E316" s="20"/>
      <c r="F316" s="8"/>
      <c r="G316" s="8"/>
      <c r="H316" s="9"/>
      <c r="I316" s="9"/>
      <c r="J316" s="9"/>
      <c r="K316" s="714"/>
      <c r="L316" s="714"/>
      <c r="M316" s="9"/>
      <c r="N316" s="9"/>
      <c r="O316" s="9"/>
      <c r="P31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6" s="9"/>
      <c r="R316" s="9"/>
      <c r="S316" s="9"/>
      <c r="T316" s="37"/>
      <c r="U316" s="37"/>
      <c r="V316" s="37"/>
      <c r="W316" s="37"/>
      <c r="X316" s="37"/>
      <c r="Y316" s="37"/>
      <c r="Z31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6" s="37"/>
      <c r="AB316" s="713" t="str">
        <f>IF(COUNTA(SalCommune[[#This Row],[Nom]:[heures annuelles
selon contrat(s)]])=0,"",SalCommune[[#This Row],[Total global]]-ABS(SalCommune[[#This Row],[Dont non opposable]]))</f>
        <v/>
      </c>
      <c r="AC316" s="8"/>
      <c r="AD316" s="63"/>
      <c r="AE316" s="430"/>
      <c r="AF316" s="430"/>
      <c r="AG316" s="430"/>
      <c r="AH316" s="181"/>
      <c r="AI316" s="194">
        <f>IF(COUNTA(SalCommune[[#This Row],[N°]:[heures annuelles
selon contrat(s)]])=0,"",REVEX!$E$9)</f>
        <v>0</v>
      </c>
      <c r="AJ316" s="72"/>
    </row>
    <row r="317" spans="1:36" x14ac:dyDescent="0.25">
      <c r="A317" s="72"/>
      <c r="B317" s="725" t="str">
        <f>IF(SalCommune[[#This Row],[Matricule]]="","",MAX($B$7:B316)+1)</f>
        <v/>
      </c>
      <c r="C317" s="8"/>
      <c r="D317" s="8"/>
      <c r="E317" s="20"/>
      <c r="F317" s="8"/>
      <c r="G317" s="8"/>
      <c r="H317" s="9"/>
      <c r="I317" s="9"/>
      <c r="J317" s="9"/>
      <c r="K317" s="714"/>
      <c r="L317" s="714"/>
      <c r="M317" s="9"/>
      <c r="N317" s="9"/>
      <c r="O317" s="9"/>
      <c r="P31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7" s="9"/>
      <c r="R317" s="9"/>
      <c r="S317" s="9"/>
      <c r="T317" s="37"/>
      <c r="U317" s="37"/>
      <c r="V317" s="37"/>
      <c r="W317" s="37"/>
      <c r="X317" s="37"/>
      <c r="Y317" s="37"/>
      <c r="Z31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7" s="37"/>
      <c r="AB317" s="713" t="str">
        <f>IF(COUNTA(SalCommune[[#This Row],[Nom]:[heures annuelles
selon contrat(s)]])=0,"",SalCommune[[#This Row],[Total global]]-ABS(SalCommune[[#This Row],[Dont non opposable]]))</f>
        <v/>
      </c>
      <c r="AC317" s="8"/>
      <c r="AD317" s="63"/>
      <c r="AE317" s="430"/>
      <c r="AF317" s="430"/>
      <c r="AG317" s="430"/>
      <c r="AH317" s="181"/>
      <c r="AI317" s="194">
        <f>IF(COUNTA(SalCommune[[#This Row],[N°]:[heures annuelles
selon contrat(s)]])=0,"",REVEX!$E$9)</f>
        <v>0</v>
      </c>
      <c r="AJ317" s="72"/>
    </row>
    <row r="318" spans="1:36" x14ac:dyDescent="0.25">
      <c r="A318" s="72"/>
      <c r="B318" s="725" t="str">
        <f>IF(SalCommune[[#This Row],[Matricule]]="","",MAX($B$7:B317)+1)</f>
        <v/>
      </c>
      <c r="C318" s="8"/>
      <c r="D318" s="8"/>
      <c r="E318" s="20"/>
      <c r="F318" s="8"/>
      <c r="G318" s="8"/>
      <c r="H318" s="9"/>
      <c r="I318" s="9"/>
      <c r="J318" s="9"/>
      <c r="K318" s="714"/>
      <c r="L318" s="714"/>
      <c r="M318" s="9"/>
      <c r="N318" s="9"/>
      <c r="O318" s="9"/>
      <c r="P31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8" s="9"/>
      <c r="R318" s="9"/>
      <c r="S318" s="9"/>
      <c r="T318" s="37"/>
      <c r="U318" s="37"/>
      <c r="V318" s="37"/>
      <c r="W318" s="37"/>
      <c r="X318" s="37"/>
      <c r="Y318" s="37"/>
      <c r="Z31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8" s="37"/>
      <c r="AB318" s="713" t="str">
        <f>IF(COUNTA(SalCommune[[#This Row],[Nom]:[heures annuelles
selon contrat(s)]])=0,"",SalCommune[[#This Row],[Total global]]-ABS(SalCommune[[#This Row],[Dont non opposable]]))</f>
        <v/>
      </c>
      <c r="AC318" s="8"/>
      <c r="AD318" s="63"/>
      <c r="AE318" s="430"/>
      <c r="AF318" s="430"/>
      <c r="AG318" s="430"/>
      <c r="AH318" s="181"/>
      <c r="AI318" s="194">
        <f>IF(COUNTA(SalCommune[[#This Row],[N°]:[heures annuelles
selon contrat(s)]])=0,"",REVEX!$E$9)</f>
        <v>0</v>
      </c>
      <c r="AJ318" s="72"/>
    </row>
    <row r="319" spans="1:36" x14ac:dyDescent="0.25">
      <c r="A319" s="72"/>
      <c r="B319" s="725" t="str">
        <f>IF(SalCommune[[#This Row],[Matricule]]="","",MAX($B$7:B318)+1)</f>
        <v/>
      </c>
      <c r="C319" s="8"/>
      <c r="D319" s="8"/>
      <c r="E319" s="20"/>
      <c r="F319" s="8"/>
      <c r="G319" s="8"/>
      <c r="H319" s="9"/>
      <c r="I319" s="9"/>
      <c r="J319" s="9"/>
      <c r="K319" s="714"/>
      <c r="L319" s="714"/>
      <c r="M319" s="9"/>
      <c r="N319" s="9"/>
      <c r="O319" s="9"/>
      <c r="P31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19" s="9"/>
      <c r="R319" s="9"/>
      <c r="S319" s="9"/>
      <c r="T319" s="37"/>
      <c r="U319" s="37"/>
      <c r="V319" s="37"/>
      <c r="W319" s="37"/>
      <c r="X319" s="37"/>
      <c r="Y319" s="37"/>
      <c r="Z31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19" s="37"/>
      <c r="AB319" s="713" t="str">
        <f>IF(COUNTA(SalCommune[[#This Row],[Nom]:[heures annuelles
selon contrat(s)]])=0,"",SalCommune[[#This Row],[Total global]]-ABS(SalCommune[[#This Row],[Dont non opposable]]))</f>
        <v/>
      </c>
      <c r="AC319" s="8"/>
      <c r="AD319" s="63"/>
      <c r="AE319" s="430"/>
      <c r="AF319" s="430"/>
      <c r="AG319" s="430"/>
      <c r="AH319" s="181"/>
      <c r="AI319" s="194">
        <f>IF(COUNTA(SalCommune[[#This Row],[N°]:[heures annuelles
selon contrat(s)]])=0,"",REVEX!$E$9)</f>
        <v>0</v>
      </c>
      <c r="AJ319" s="72"/>
    </row>
    <row r="320" spans="1:36" x14ac:dyDescent="0.25">
      <c r="A320" s="72"/>
      <c r="B320" s="725" t="str">
        <f>IF(SalCommune[[#This Row],[Matricule]]="","",MAX($B$7:B319)+1)</f>
        <v/>
      </c>
      <c r="C320" s="8"/>
      <c r="D320" s="8"/>
      <c r="E320" s="20"/>
      <c r="F320" s="8"/>
      <c r="G320" s="8"/>
      <c r="H320" s="9"/>
      <c r="I320" s="9"/>
      <c r="J320" s="9"/>
      <c r="K320" s="714"/>
      <c r="L320" s="714"/>
      <c r="M320" s="9"/>
      <c r="N320" s="9"/>
      <c r="O320" s="9"/>
      <c r="P32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0" s="9"/>
      <c r="R320" s="9"/>
      <c r="S320" s="9"/>
      <c r="T320" s="37"/>
      <c r="U320" s="37"/>
      <c r="V320" s="37"/>
      <c r="W320" s="37"/>
      <c r="X320" s="37"/>
      <c r="Y320" s="37"/>
      <c r="Z32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0" s="37"/>
      <c r="AB320" s="713" t="str">
        <f>IF(COUNTA(SalCommune[[#This Row],[Nom]:[heures annuelles
selon contrat(s)]])=0,"",SalCommune[[#This Row],[Total global]]-ABS(SalCommune[[#This Row],[Dont non opposable]]))</f>
        <v/>
      </c>
      <c r="AC320" s="8"/>
      <c r="AD320" s="63"/>
      <c r="AE320" s="430"/>
      <c r="AF320" s="430"/>
      <c r="AG320" s="430"/>
      <c r="AH320" s="181"/>
      <c r="AI320" s="194">
        <f>IF(COUNTA(SalCommune[[#This Row],[N°]:[heures annuelles
selon contrat(s)]])=0,"",REVEX!$E$9)</f>
        <v>0</v>
      </c>
      <c r="AJ320" s="72"/>
    </row>
    <row r="321" spans="1:36" x14ac:dyDescent="0.25">
      <c r="A321" s="72"/>
      <c r="B321" s="725" t="str">
        <f>IF(SalCommune[[#This Row],[Matricule]]="","",MAX($B$7:B320)+1)</f>
        <v/>
      </c>
      <c r="C321" s="8"/>
      <c r="D321" s="8"/>
      <c r="E321" s="20"/>
      <c r="F321" s="8"/>
      <c r="G321" s="8"/>
      <c r="H321" s="9"/>
      <c r="I321" s="9"/>
      <c r="J321" s="9"/>
      <c r="K321" s="714"/>
      <c r="L321" s="714"/>
      <c r="M321" s="9"/>
      <c r="N321" s="9"/>
      <c r="O321" s="9"/>
      <c r="P32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1" s="9"/>
      <c r="R321" s="9"/>
      <c r="S321" s="9"/>
      <c r="T321" s="37"/>
      <c r="U321" s="37"/>
      <c r="V321" s="37"/>
      <c r="W321" s="37"/>
      <c r="X321" s="37"/>
      <c r="Y321" s="37"/>
      <c r="Z32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1" s="37"/>
      <c r="AB321" s="713" t="str">
        <f>IF(COUNTA(SalCommune[[#This Row],[Nom]:[heures annuelles
selon contrat(s)]])=0,"",SalCommune[[#This Row],[Total global]]-ABS(SalCommune[[#This Row],[Dont non opposable]]))</f>
        <v/>
      </c>
      <c r="AC321" s="8"/>
      <c r="AD321" s="63"/>
      <c r="AE321" s="430"/>
      <c r="AF321" s="430"/>
      <c r="AG321" s="430"/>
      <c r="AH321" s="181"/>
      <c r="AI321" s="194">
        <f>IF(COUNTA(SalCommune[[#This Row],[N°]:[heures annuelles
selon contrat(s)]])=0,"",REVEX!$E$9)</f>
        <v>0</v>
      </c>
      <c r="AJ321" s="72"/>
    </row>
    <row r="322" spans="1:36" x14ac:dyDescent="0.25">
      <c r="A322" s="72"/>
      <c r="B322" s="725" t="str">
        <f>IF(SalCommune[[#This Row],[Matricule]]="","",MAX($B$7:B321)+1)</f>
        <v/>
      </c>
      <c r="C322" s="8"/>
      <c r="D322" s="8"/>
      <c r="E322" s="20"/>
      <c r="F322" s="8"/>
      <c r="G322" s="8"/>
      <c r="H322" s="9"/>
      <c r="I322" s="9"/>
      <c r="J322" s="9"/>
      <c r="K322" s="714"/>
      <c r="L322" s="714"/>
      <c r="M322" s="9"/>
      <c r="N322" s="9"/>
      <c r="O322" s="9"/>
      <c r="P32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2" s="9"/>
      <c r="R322" s="9"/>
      <c r="S322" s="9"/>
      <c r="T322" s="37"/>
      <c r="U322" s="37"/>
      <c r="V322" s="37"/>
      <c r="W322" s="37"/>
      <c r="X322" s="37"/>
      <c r="Y322" s="37"/>
      <c r="Z32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2" s="37"/>
      <c r="AB322" s="713" t="str">
        <f>IF(COUNTA(SalCommune[[#This Row],[Nom]:[heures annuelles
selon contrat(s)]])=0,"",SalCommune[[#This Row],[Total global]]-ABS(SalCommune[[#This Row],[Dont non opposable]]))</f>
        <v/>
      </c>
      <c r="AC322" s="8"/>
      <c r="AD322" s="63"/>
      <c r="AE322" s="430"/>
      <c r="AF322" s="430"/>
      <c r="AG322" s="430"/>
      <c r="AH322" s="181"/>
      <c r="AI322" s="194">
        <f>IF(COUNTA(SalCommune[[#This Row],[N°]:[heures annuelles
selon contrat(s)]])=0,"",REVEX!$E$9)</f>
        <v>0</v>
      </c>
      <c r="AJ322" s="72"/>
    </row>
    <row r="323" spans="1:36" x14ac:dyDescent="0.25">
      <c r="A323" s="72"/>
      <c r="B323" s="725" t="str">
        <f>IF(SalCommune[[#This Row],[Matricule]]="","",MAX($B$7:B322)+1)</f>
        <v/>
      </c>
      <c r="C323" s="8"/>
      <c r="D323" s="8"/>
      <c r="E323" s="20"/>
      <c r="F323" s="8"/>
      <c r="G323" s="8"/>
      <c r="H323" s="9"/>
      <c r="I323" s="9"/>
      <c r="J323" s="9"/>
      <c r="K323" s="714"/>
      <c r="L323" s="714"/>
      <c r="M323" s="9"/>
      <c r="N323" s="9"/>
      <c r="O323" s="9"/>
      <c r="P32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3" s="9"/>
      <c r="R323" s="9"/>
      <c r="S323" s="9"/>
      <c r="T323" s="37"/>
      <c r="U323" s="37"/>
      <c r="V323" s="37"/>
      <c r="W323" s="37"/>
      <c r="X323" s="37"/>
      <c r="Y323" s="37"/>
      <c r="Z32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3" s="37"/>
      <c r="AB323" s="713" t="str">
        <f>IF(COUNTA(SalCommune[[#This Row],[Nom]:[heures annuelles
selon contrat(s)]])=0,"",SalCommune[[#This Row],[Total global]]-ABS(SalCommune[[#This Row],[Dont non opposable]]))</f>
        <v/>
      </c>
      <c r="AC323" s="8"/>
      <c r="AD323" s="63"/>
      <c r="AE323" s="430"/>
      <c r="AF323" s="430"/>
      <c r="AG323" s="430"/>
      <c r="AH323" s="181"/>
      <c r="AI323" s="194">
        <f>IF(COUNTA(SalCommune[[#This Row],[N°]:[heures annuelles
selon contrat(s)]])=0,"",REVEX!$E$9)</f>
        <v>0</v>
      </c>
      <c r="AJ323" s="72"/>
    </row>
    <row r="324" spans="1:36" x14ac:dyDescent="0.25">
      <c r="A324" s="72"/>
      <c r="B324" s="725" t="str">
        <f>IF(SalCommune[[#This Row],[Matricule]]="","",MAX($B$7:B323)+1)</f>
        <v/>
      </c>
      <c r="C324" s="8"/>
      <c r="D324" s="8"/>
      <c r="E324" s="20"/>
      <c r="F324" s="8"/>
      <c r="G324" s="8"/>
      <c r="H324" s="9"/>
      <c r="I324" s="9"/>
      <c r="J324" s="9"/>
      <c r="K324" s="714"/>
      <c r="L324" s="714"/>
      <c r="M324" s="9"/>
      <c r="N324" s="9"/>
      <c r="O324" s="9"/>
      <c r="P32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4" s="9"/>
      <c r="R324" s="9"/>
      <c r="S324" s="9"/>
      <c r="T324" s="37"/>
      <c r="U324" s="37"/>
      <c r="V324" s="37"/>
      <c r="W324" s="37"/>
      <c r="X324" s="37"/>
      <c r="Y324" s="37"/>
      <c r="Z32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4" s="37"/>
      <c r="AB324" s="713" t="str">
        <f>IF(COUNTA(SalCommune[[#This Row],[Nom]:[heures annuelles
selon contrat(s)]])=0,"",SalCommune[[#This Row],[Total global]]-ABS(SalCommune[[#This Row],[Dont non opposable]]))</f>
        <v/>
      </c>
      <c r="AC324" s="8"/>
      <c r="AD324" s="63"/>
      <c r="AE324" s="430"/>
      <c r="AF324" s="430"/>
      <c r="AG324" s="430"/>
      <c r="AH324" s="181"/>
      <c r="AI324" s="194">
        <f>IF(COUNTA(SalCommune[[#This Row],[N°]:[heures annuelles
selon contrat(s)]])=0,"",REVEX!$E$9)</f>
        <v>0</v>
      </c>
      <c r="AJ324" s="72"/>
    </row>
    <row r="325" spans="1:36" x14ac:dyDescent="0.25">
      <c r="A325" s="72"/>
      <c r="B325" s="725" t="str">
        <f>IF(SalCommune[[#This Row],[Matricule]]="","",MAX($B$7:B324)+1)</f>
        <v/>
      </c>
      <c r="C325" s="8"/>
      <c r="D325" s="8"/>
      <c r="E325" s="20"/>
      <c r="F325" s="8"/>
      <c r="G325" s="8"/>
      <c r="H325" s="9"/>
      <c r="I325" s="9"/>
      <c r="J325" s="9"/>
      <c r="K325" s="714"/>
      <c r="L325" s="714"/>
      <c r="M325" s="9"/>
      <c r="N325" s="9"/>
      <c r="O325" s="9"/>
      <c r="P32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5" s="9"/>
      <c r="R325" s="9"/>
      <c r="S325" s="9"/>
      <c r="T325" s="37"/>
      <c r="U325" s="37"/>
      <c r="V325" s="37"/>
      <c r="W325" s="37"/>
      <c r="X325" s="37"/>
      <c r="Y325" s="37"/>
      <c r="Z32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5" s="37"/>
      <c r="AB325" s="713" t="str">
        <f>IF(COUNTA(SalCommune[[#This Row],[Nom]:[heures annuelles
selon contrat(s)]])=0,"",SalCommune[[#This Row],[Total global]]-ABS(SalCommune[[#This Row],[Dont non opposable]]))</f>
        <v/>
      </c>
      <c r="AC325" s="8"/>
      <c r="AD325" s="63"/>
      <c r="AE325" s="430"/>
      <c r="AF325" s="430"/>
      <c r="AG325" s="430"/>
      <c r="AH325" s="181"/>
      <c r="AI325" s="194">
        <f>IF(COUNTA(SalCommune[[#This Row],[N°]:[heures annuelles
selon contrat(s)]])=0,"",REVEX!$E$9)</f>
        <v>0</v>
      </c>
      <c r="AJ325" s="72"/>
    </row>
    <row r="326" spans="1:36" x14ac:dyDescent="0.25">
      <c r="A326" s="72"/>
      <c r="B326" s="725" t="str">
        <f>IF(SalCommune[[#This Row],[Matricule]]="","",MAX($B$7:B325)+1)</f>
        <v/>
      </c>
      <c r="C326" s="8"/>
      <c r="D326" s="8"/>
      <c r="E326" s="20"/>
      <c r="F326" s="8"/>
      <c r="G326" s="8"/>
      <c r="H326" s="9"/>
      <c r="I326" s="9"/>
      <c r="J326" s="9"/>
      <c r="K326" s="714"/>
      <c r="L326" s="714"/>
      <c r="M326" s="9"/>
      <c r="N326" s="9"/>
      <c r="O326" s="9"/>
      <c r="P32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6" s="9"/>
      <c r="R326" s="9"/>
      <c r="S326" s="9"/>
      <c r="T326" s="37"/>
      <c r="U326" s="37"/>
      <c r="V326" s="37"/>
      <c r="W326" s="37"/>
      <c r="X326" s="37"/>
      <c r="Y326" s="37"/>
      <c r="Z32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6" s="37"/>
      <c r="AB326" s="713" t="str">
        <f>IF(COUNTA(SalCommune[[#This Row],[Nom]:[heures annuelles
selon contrat(s)]])=0,"",SalCommune[[#This Row],[Total global]]-ABS(SalCommune[[#This Row],[Dont non opposable]]))</f>
        <v/>
      </c>
      <c r="AC326" s="8"/>
      <c r="AD326" s="63"/>
      <c r="AE326" s="430"/>
      <c r="AF326" s="430"/>
      <c r="AG326" s="430"/>
      <c r="AH326" s="181"/>
      <c r="AI326" s="194">
        <f>IF(COUNTA(SalCommune[[#This Row],[N°]:[heures annuelles
selon contrat(s)]])=0,"",REVEX!$E$9)</f>
        <v>0</v>
      </c>
      <c r="AJ326" s="72"/>
    </row>
    <row r="327" spans="1:36" x14ac:dyDescent="0.25">
      <c r="A327" s="72"/>
      <c r="B327" s="725" t="str">
        <f>IF(SalCommune[[#This Row],[Matricule]]="","",MAX($B$7:B326)+1)</f>
        <v/>
      </c>
      <c r="C327" s="8"/>
      <c r="D327" s="8"/>
      <c r="E327" s="20"/>
      <c r="F327" s="8"/>
      <c r="G327" s="8"/>
      <c r="H327" s="9"/>
      <c r="I327" s="9"/>
      <c r="J327" s="9"/>
      <c r="K327" s="714"/>
      <c r="L327" s="714"/>
      <c r="M327" s="9"/>
      <c r="N327" s="9"/>
      <c r="O327" s="9"/>
      <c r="P32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7" s="9"/>
      <c r="R327" s="9"/>
      <c r="S327" s="9"/>
      <c r="T327" s="37"/>
      <c r="U327" s="37"/>
      <c r="V327" s="37"/>
      <c r="W327" s="37"/>
      <c r="X327" s="37"/>
      <c r="Y327" s="37"/>
      <c r="Z32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7" s="37"/>
      <c r="AB327" s="713" t="str">
        <f>IF(COUNTA(SalCommune[[#This Row],[Nom]:[heures annuelles
selon contrat(s)]])=0,"",SalCommune[[#This Row],[Total global]]-ABS(SalCommune[[#This Row],[Dont non opposable]]))</f>
        <v/>
      </c>
      <c r="AC327" s="8"/>
      <c r="AD327" s="63"/>
      <c r="AE327" s="430"/>
      <c r="AF327" s="430"/>
      <c r="AG327" s="430"/>
      <c r="AH327" s="181"/>
      <c r="AI327" s="194">
        <f>IF(COUNTA(SalCommune[[#This Row],[N°]:[heures annuelles
selon contrat(s)]])=0,"",REVEX!$E$9)</f>
        <v>0</v>
      </c>
      <c r="AJ327" s="72"/>
    </row>
    <row r="328" spans="1:36" x14ac:dyDescent="0.25">
      <c r="A328" s="72"/>
      <c r="B328" s="725" t="str">
        <f>IF(SalCommune[[#This Row],[Matricule]]="","",MAX($B$7:B327)+1)</f>
        <v/>
      </c>
      <c r="C328" s="8"/>
      <c r="D328" s="8"/>
      <c r="E328" s="20"/>
      <c r="F328" s="8"/>
      <c r="G328" s="8"/>
      <c r="H328" s="9"/>
      <c r="I328" s="9"/>
      <c r="J328" s="9"/>
      <c r="K328" s="714"/>
      <c r="L328" s="714"/>
      <c r="M328" s="9"/>
      <c r="N328" s="9"/>
      <c r="O328" s="9"/>
      <c r="P32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8" s="9"/>
      <c r="R328" s="9"/>
      <c r="S328" s="9"/>
      <c r="T328" s="37"/>
      <c r="U328" s="37"/>
      <c r="V328" s="37"/>
      <c r="W328" s="37"/>
      <c r="X328" s="37"/>
      <c r="Y328" s="37"/>
      <c r="Z32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8" s="37"/>
      <c r="AB328" s="713" t="str">
        <f>IF(COUNTA(SalCommune[[#This Row],[Nom]:[heures annuelles
selon contrat(s)]])=0,"",SalCommune[[#This Row],[Total global]]-ABS(SalCommune[[#This Row],[Dont non opposable]]))</f>
        <v/>
      </c>
      <c r="AC328" s="8"/>
      <c r="AD328" s="63"/>
      <c r="AE328" s="430"/>
      <c r="AF328" s="430"/>
      <c r="AG328" s="430"/>
      <c r="AH328" s="181"/>
      <c r="AI328" s="194">
        <f>IF(COUNTA(SalCommune[[#This Row],[N°]:[heures annuelles
selon contrat(s)]])=0,"",REVEX!$E$9)</f>
        <v>0</v>
      </c>
      <c r="AJ328" s="72"/>
    </row>
    <row r="329" spans="1:36" x14ac:dyDescent="0.25">
      <c r="A329" s="72"/>
      <c r="B329" s="725" t="str">
        <f>IF(SalCommune[[#This Row],[Matricule]]="","",MAX($B$7:B328)+1)</f>
        <v/>
      </c>
      <c r="C329" s="8"/>
      <c r="D329" s="8"/>
      <c r="E329" s="20"/>
      <c r="F329" s="8"/>
      <c r="G329" s="8"/>
      <c r="H329" s="9"/>
      <c r="I329" s="9"/>
      <c r="J329" s="9"/>
      <c r="K329" s="714"/>
      <c r="L329" s="714"/>
      <c r="M329" s="9"/>
      <c r="N329" s="9"/>
      <c r="O329" s="9"/>
      <c r="P32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29" s="9"/>
      <c r="R329" s="9"/>
      <c r="S329" s="9"/>
      <c r="T329" s="37"/>
      <c r="U329" s="37"/>
      <c r="V329" s="37"/>
      <c r="W329" s="37"/>
      <c r="X329" s="37"/>
      <c r="Y329" s="37"/>
      <c r="Z32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29" s="37"/>
      <c r="AB329" s="713" t="str">
        <f>IF(COUNTA(SalCommune[[#This Row],[Nom]:[heures annuelles
selon contrat(s)]])=0,"",SalCommune[[#This Row],[Total global]]-ABS(SalCommune[[#This Row],[Dont non opposable]]))</f>
        <v/>
      </c>
      <c r="AC329" s="8"/>
      <c r="AD329" s="63"/>
      <c r="AE329" s="430"/>
      <c r="AF329" s="430"/>
      <c r="AG329" s="430"/>
      <c r="AH329" s="181"/>
      <c r="AI329" s="194">
        <f>IF(COUNTA(SalCommune[[#This Row],[N°]:[heures annuelles
selon contrat(s)]])=0,"",REVEX!$E$9)</f>
        <v>0</v>
      </c>
      <c r="AJ329" s="72"/>
    </row>
    <row r="330" spans="1:36" x14ac:dyDescent="0.25">
      <c r="A330" s="72"/>
      <c r="B330" s="725" t="str">
        <f>IF(SalCommune[[#This Row],[Matricule]]="","",MAX($B$7:B329)+1)</f>
        <v/>
      </c>
      <c r="C330" s="8"/>
      <c r="D330" s="8"/>
      <c r="E330" s="20"/>
      <c r="F330" s="8"/>
      <c r="G330" s="8"/>
      <c r="H330" s="9"/>
      <c r="I330" s="9"/>
      <c r="J330" s="9"/>
      <c r="K330" s="714"/>
      <c r="L330" s="714"/>
      <c r="M330" s="9"/>
      <c r="N330" s="9"/>
      <c r="O330" s="9"/>
      <c r="P33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0" s="9"/>
      <c r="R330" s="9"/>
      <c r="S330" s="9"/>
      <c r="T330" s="37"/>
      <c r="U330" s="37"/>
      <c r="V330" s="37"/>
      <c r="W330" s="37"/>
      <c r="X330" s="37"/>
      <c r="Y330" s="37"/>
      <c r="Z33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0" s="37"/>
      <c r="AB330" s="713" t="str">
        <f>IF(COUNTA(SalCommune[[#This Row],[Nom]:[heures annuelles
selon contrat(s)]])=0,"",SalCommune[[#This Row],[Total global]]-ABS(SalCommune[[#This Row],[Dont non opposable]]))</f>
        <v/>
      </c>
      <c r="AC330" s="8"/>
      <c r="AD330" s="63"/>
      <c r="AE330" s="430"/>
      <c r="AF330" s="430"/>
      <c r="AG330" s="430"/>
      <c r="AH330" s="181"/>
      <c r="AI330" s="194">
        <f>IF(COUNTA(SalCommune[[#This Row],[N°]:[heures annuelles
selon contrat(s)]])=0,"",REVEX!$E$9)</f>
        <v>0</v>
      </c>
      <c r="AJ330" s="72"/>
    </row>
    <row r="331" spans="1:36" x14ac:dyDescent="0.25">
      <c r="A331" s="72"/>
      <c r="B331" s="725" t="str">
        <f>IF(SalCommune[[#This Row],[Matricule]]="","",MAX($B$7:B330)+1)</f>
        <v/>
      </c>
      <c r="C331" s="8"/>
      <c r="D331" s="8"/>
      <c r="E331" s="20"/>
      <c r="F331" s="8"/>
      <c r="G331" s="8"/>
      <c r="H331" s="9"/>
      <c r="I331" s="9"/>
      <c r="J331" s="9"/>
      <c r="K331" s="714"/>
      <c r="L331" s="714"/>
      <c r="M331" s="9"/>
      <c r="N331" s="9"/>
      <c r="O331" s="9"/>
      <c r="P33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1" s="9"/>
      <c r="R331" s="9"/>
      <c r="S331" s="9"/>
      <c r="T331" s="37"/>
      <c r="U331" s="37"/>
      <c r="V331" s="37"/>
      <c r="W331" s="37"/>
      <c r="X331" s="37"/>
      <c r="Y331" s="37"/>
      <c r="Z33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1" s="37"/>
      <c r="AB331" s="713" t="str">
        <f>IF(COUNTA(SalCommune[[#This Row],[Nom]:[heures annuelles
selon contrat(s)]])=0,"",SalCommune[[#This Row],[Total global]]-ABS(SalCommune[[#This Row],[Dont non opposable]]))</f>
        <v/>
      </c>
      <c r="AC331" s="8"/>
      <c r="AD331" s="63"/>
      <c r="AE331" s="430"/>
      <c r="AF331" s="430"/>
      <c r="AG331" s="430"/>
      <c r="AH331" s="181"/>
      <c r="AI331" s="194">
        <f>IF(COUNTA(SalCommune[[#This Row],[N°]:[heures annuelles
selon contrat(s)]])=0,"",REVEX!$E$9)</f>
        <v>0</v>
      </c>
      <c r="AJ331" s="72"/>
    </row>
    <row r="332" spans="1:36" x14ac:dyDescent="0.25">
      <c r="A332" s="72"/>
      <c r="B332" s="725" t="str">
        <f>IF(SalCommune[[#This Row],[Matricule]]="","",MAX($B$7:B331)+1)</f>
        <v/>
      </c>
      <c r="C332" s="8"/>
      <c r="D332" s="8"/>
      <c r="E332" s="20"/>
      <c r="F332" s="8"/>
      <c r="G332" s="8"/>
      <c r="H332" s="9"/>
      <c r="I332" s="9"/>
      <c r="J332" s="9"/>
      <c r="K332" s="714"/>
      <c r="L332" s="714"/>
      <c r="M332" s="9"/>
      <c r="N332" s="9"/>
      <c r="O332" s="9"/>
      <c r="P33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2" s="9"/>
      <c r="R332" s="9"/>
      <c r="S332" s="9"/>
      <c r="T332" s="37"/>
      <c r="U332" s="37"/>
      <c r="V332" s="37"/>
      <c r="W332" s="37"/>
      <c r="X332" s="37"/>
      <c r="Y332" s="37"/>
      <c r="Z33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2" s="37"/>
      <c r="AB332" s="713" t="str">
        <f>IF(COUNTA(SalCommune[[#This Row],[Nom]:[heures annuelles
selon contrat(s)]])=0,"",SalCommune[[#This Row],[Total global]]-ABS(SalCommune[[#This Row],[Dont non opposable]]))</f>
        <v/>
      </c>
      <c r="AC332" s="8"/>
      <c r="AD332" s="63"/>
      <c r="AE332" s="430"/>
      <c r="AF332" s="430"/>
      <c r="AG332" s="430"/>
      <c r="AH332" s="181"/>
      <c r="AI332" s="194">
        <f>IF(COUNTA(SalCommune[[#This Row],[N°]:[heures annuelles
selon contrat(s)]])=0,"",REVEX!$E$9)</f>
        <v>0</v>
      </c>
      <c r="AJ332" s="72"/>
    </row>
    <row r="333" spans="1:36" x14ac:dyDescent="0.25">
      <c r="A333" s="72"/>
      <c r="B333" s="725" t="str">
        <f>IF(SalCommune[[#This Row],[Matricule]]="","",MAX($B$7:B332)+1)</f>
        <v/>
      </c>
      <c r="C333" s="8"/>
      <c r="D333" s="8"/>
      <c r="E333" s="20"/>
      <c r="F333" s="8"/>
      <c r="G333" s="8"/>
      <c r="H333" s="9"/>
      <c r="I333" s="9"/>
      <c r="J333" s="9"/>
      <c r="K333" s="714"/>
      <c r="L333" s="714"/>
      <c r="M333" s="9"/>
      <c r="N333" s="9"/>
      <c r="O333" s="9"/>
      <c r="P33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3" s="9"/>
      <c r="R333" s="9"/>
      <c r="S333" s="9"/>
      <c r="T333" s="37"/>
      <c r="U333" s="37"/>
      <c r="V333" s="37"/>
      <c r="W333" s="37"/>
      <c r="X333" s="37"/>
      <c r="Y333" s="37"/>
      <c r="Z33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3" s="37"/>
      <c r="AB333" s="713" t="str">
        <f>IF(COUNTA(SalCommune[[#This Row],[Nom]:[heures annuelles
selon contrat(s)]])=0,"",SalCommune[[#This Row],[Total global]]-ABS(SalCommune[[#This Row],[Dont non opposable]]))</f>
        <v/>
      </c>
      <c r="AC333" s="8"/>
      <c r="AD333" s="63"/>
      <c r="AE333" s="430"/>
      <c r="AF333" s="430"/>
      <c r="AG333" s="430"/>
      <c r="AH333" s="181"/>
      <c r="AI333" s="194">
        <f>IF(COUNTA(SalCommune[[#This Row],[N°]:[heures annuelles
selon contrat(s)]])=0,"",REVEX!$E$9)</f>
        <v>0</v>
      </c>
      <c r="AJ333" s="72"/>
    </row>
    <row r="334" spans="1:36" x14ac:dyDescent="0.25">
      <c r="A334" s="72"/>
      <c r="B334" s="725" t="str">
        <f>IF(SalCommune[[#This Row],[Matricule]]="","",MAX($B$7:B333)+1)</f>
        <v/>
      </c>
      <c r="C334" s="8"/>
      <c r="D334" s="8"/>
      <c r="E334" s="20"/>
      <c r="F334" s="8"/>
      <c r="G334" s="8"/>
      <c r="H334" s="9"/>
      <c r="I334" s="9"/>
      <c r="J334" s="9"/>
      <c r="K334" s="714"/>
      <c r="L334" s="714"/>
      <c r="M334" s="9"/>
      <c r="N334" s="9"/>
      <c r="O334" s="9"/>
      <c r="P33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4" s="9"/>
      <c r="R334" s="9"/>
      <c r="S334" s="9"/>
      <c r="T334" s="37"/>
      <c r="U334" s="37"/>
      <c r="V334" s="37"/>
      <c r="W334" s="37"/>
      <c r="X334" s="37"/>
      <c r="Y334" s="37"/>
      <c r="Z33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4" s="37"/>
      <c r="AB334" s="713" t="str">
        <f>IF(COUNTA(SalCommune[[#This Row],[Nom]:[heures annuelles
selon contrat(s)]])=0,"",SalCommune[[#This Row],[Total global]]-ABS(SalCommune[[#This Row],[Dont non opposable]]))</f>
        <v/>
      </c>
      <c r="AC334" s="8"/>
      <c r="AD334" s="63"/>
      <c r="AE334" s="430"/>
      <c r="AF334" s="430"/>
      <c r="AG334" s="430"/>
      <c r="AH334" s="181"/>
      <c r="AI334" s="194">
        <f>IF(COUNTA(SalCommune[[#This Row],[N°]:[heures annuelles
selon contrat(s)]])=0,"",REVEX!$E$9)</f>
        <v>0</v>
      </c>
      <c r="AJ334" s="72"/>
    </row>
    <row r="335" spans="1:36" x14ac:dyDescent="0.25">
      <c r="A335" s="72"/>
      <c r="B335" s="725" t="str">
        <f>IF(SalCommune[[#This Row],[Matricule]]="","",MAX($B$7:B334)+1)</f>
        <v/>
      </c>
      <c r="C335" s="8"/>
      <c r="D335" s="8"/>
      <c r="E335" s="20"/>
      <c r="F335" s="8"/>
      <c r="G335" s="8"/>
      <c r="H335" s="9"/>
      <c r="I335" s="9"/>
      <c r="J335" s="9"/>
      <c r="K335" s="714"/>
      <c r="L335" s="714"/>
      <c r="M335" s="9"/>
      <c r="N335" s="9"/>
      <c r="O335" s="9"/>
      <c r="P33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5" s="9"/>
      <c r="R335" s="9"/>
      <c r="S335" s="9"/>
      <c r="T335" s="37"/>
      <c r="U335" s="37"/>
      <c r="V335" s="37"/>
      <c r="W335" s="37"/>
      <c r="X335" s="37"/>
      <c r="Y335" s="37"/>
      <c r="Z33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5" s="37"/>
      <c r="AB335" s="713" t="str">
        <f>IF(COUNTA(SalCommune[[#This Row],[Nom]:[heures annuelles
selon contrat(s)]])=0,"",SalCommune[[#This Row],[Total global]]-ABS(SalCommune[[#This Row],[Dont non opposable]]))</f>
        <v/>
      </c>
      <c r="AC335" s="8"/>
      <c r="AD335" s="63"/>
      <c r="AE335" s="430"/>
      <c r="AF335" s="430"/>
      <c r="AG335" s="430"/>
      <c r="AH335" s="181"/>
      <c r="AI335" s="194">
        <f>IF(COUNTA(SalCommune[[#This Row],[N°]:[heures annuelles
selon contrat(s)]])=0,"",REVEX!$E$9)</f>
        <v>0</v>
      </c>
      <c r="AJ335" s="72"/>
    </row>
    <row r="336" spans="1:36" x14ac:dyDescent="0.25">
      <c r="A336" s="72"/>
      <c r="B336" s="725" t="str">
        <f>IF(SalCommune[[#This Row],[Matricule]]="","",MAX($B$7:B335)+1)</f>
        <v/>
      </c>
      <c r="C336" s="8"/>
      <c r="D336" s="8"/>
      <c r="E336" s="20"/>
      <c r="F336" s="8"/>
      <c r="G336" s="8"/>
      <c r="H336" s="9"/>
      <c r="I336" s="9"/>
      <c r="J336" s="9"/>
      <c r="K336" s="714"/>
      <c r="L336" s="714"/>
      <c r="M336" s="9"/>
      <c r="N336" s="9"/>
      <c r="O336" s="9"/>
      <c r="P33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6" s="9"/>
      <c r="R336" s="9"/>
      <c r="S336" s="9"/>
      <c r="T336" s="37"/>
      <c r="U336" s="37"/>
      <c r="V336" s="37"/>
      <c r="W336" s="37"/>
      <c r="X336" s="37"/>
      <c r="Y336" s="37"/>
      <c r="Z33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6" s="37"/>
      <c r="AB336" s="713" t="str">
        <f>IF(COUNTA(SalCommune[[#This Row],[Nom]:[heures annuelles
selon contrat(s)]])=0,"",SalCommune[[#This Row],[Total global]]-ABS(SalCommune[[#This Row],[Dont non opposable]]))</f>
        <v/>
      </c>
      <c r="AC336" s="8"/>
      <c r="AD336" s="63"/>
      <c r="AE336" s="430"/>
      <c r="AF336" s="430"/>
      <c r="AG336" s="430"/>
      <c r="AH336" s="181"/>
      <c r="AI336" s="194">
        <f>IF(COUNTA(SalCommune[[#This Row],[N°]:[heures annuelles
selon contrat(s)]])=0,"",REVEX!$E$9)</f>
        <v>0</v>
      </c>
      <c r="AJ336" s="72"/>
    </row>
    <row r="337" spans="1:36" x14ac:dyDescent="0.25">
      <c r="A337" s="72"/>
      <c r="B337" s="725" t="str">
        <f>IF(SalCommune[[#This Row],[Matricule]]="","",MAX($B$7:B336)+1)</f>
        <v/>
      </c>
      <c r="C337" s="8"/>
      <c r="D337" s="8"/>
      <c r="E337" s="20"/>
      <c r="F337" s="8"/>
      <c r="G337" s="8"/>
      <c r="H337" s="9"/>
      <c r="I337" s="9"/>
      <c r="J337" s="9"/>
      <c r="K337" s="714"/>
      <c r="L337" s="714"/>
      <c r="M337" s="9"/>
      <c r="N337" s="9"/>
      <c r="O337" s="9"/>
      <c r="P33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7" s="9"/>
      <c r="R337" s="9"/>
      <c r="S337" s="9"/>
      <c r="T337" s="37"/>
      <c r="U337" s="37"/>
      <c r="V337" s="37"/>
      <c r="W337" s="37"/>
      <c r="X337" s="37"/>
      <c r="Y337" s="37"/>
      <c r="Z33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7" s="37"/>
      <c r="AB337" s="713" t="str">
        <f>IF(COUNTA(SalCommune[[#This Row],[Nom]:[heures annuelles
selon contrat(s)]])=0,"",SalCommune[[#This Row],[Total global]]-ABS(SalCommune[[#This Row],[Dont non opposable]]))</f>
        <v/>
      </c>
      <c r="AC337" s="8"/>
      <c r="AD337" s="63"/>
      <c r="AE337" s="430"/>
      <c r="AF337" s="430"/>
      <c r="AG337" s="430"/>
      <c r="AH337" s="181"/>
      <c r="AI337" s="194">
        <f>IF(COUNTA(SalCommune[[#This Row],[N°]:[heures annuelles
selon contrat(s)]])=0,"",REVEX!$E$9)</f>
        <v>0</v>
      </c>
      <c r="AJ337" s="72"/>
    </row>
    <row r="338" spans="1:36" x14ac:dyDescent="0.25">
      <c r="A338" s="72"/>
      <c r="B338" s="725" t="str">
        <f>IF(SalCommune[[#This Row],[Matricule]]="","",MAX($B$7:B337)+1)</f>
        <v/>
      </c>
      <c r="C338" s="8"/>
      <c r="D338" s="8"/>
      <c r="E338" s="20"/>
      <c r="F338" s="8"/>
      <c r="G338" s="8"/>
      <c r="H338" s="9"/>
      <c r="I338" s="9"/>
      <c r="J338" s="9"/>
      <c r="K338" s="714"/>
      <c r="L338" s="714"/>
      <c r="M338" s="9"/>
      <c r="N338" s="9"/>
      <c r="O338" s="9"/>
      <c r="P33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8" s="9"/>
      <c r="R338" s="9"/>
      <c r="S338" s="9"/>
      <c r="T338" s="37"/>
      <c r="U338" s="37"/>
      <c r="V338" s="37"/>
      <c r="W338" s="37"/>
      <c r="X338" s="37"/>
      <c r="Y338" s="37"/>
      <c r="Z33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8" s="37"/>
      <c r="AB338" s="713" t="str">
        <f>IF(COUNTA(SalCommune[[#This Row],[Nom]:[heures annuelles
selon contrat(s)]])=0,"",SalCommune[[#This Row],[Total global]]-ABS(SalCommune[[#This Row],[Dont non opposable]]))</f>
        <v/>
      </c>
      <c r="AC338" s="8"/>
      <c r="AD338" s="63"/>
      <c r="AE338" s="430"/>
      <c r="AF338" s="430"/>
      <c r="AG338" s="430"/>
      <c r="AH338" s="181"/>
      <c r="AI338" s="194">
        <f>IF(COUNTA(SalCommune[[#This Row],[N°]:[heures annuelles
selon contrat(s)]])=0,"",REVEX!$E$9)</f>
        <v>0</v>
      </c>
      <c r="AJ338" s="72"/>
    </row>
    <row r="339" spans="1:36" x14ac:dyDescent="0.25">
      <c r="A339" s="72"/>
      <c r="B339" s="725" t="str">
        <f>IF(SalCommune[[#This Row],[Matricule]]="","",MAX($B$7:B338)+1)</f>
        <v/>
      </c>
      <c r="C339" s="8"/>
      <c r="D339" s="8"/>
      <c r="E339" s="20"/>
      <c r="F339" s="8"/>
      <c r="G339" s="8"/>
      <c r="H339" s="9"/>
      <c r="I339" s="9"/>
      <c r="J339" s="9"/>
      <c r="K339" s="714"/>
      <c r="L339" s="714"/>
      <c r="M339" s="9"/>
      <c r="N339" s="9"/>
      <c r="O339" s="9"/>
      <c r="P33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39" s="9"/>
      <c r="R339" s="9"/>
      <c r="S339" s="9"/>
      <c r="T339" s="37"/>
      <c r="U339" s="37"/>
      <c r="V339" s="37"/>
      <c r="W339" s="37"/>
      <c r="X339" s="37"/>
      <c r="Y339" s="37"/>
      <c r="Z33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39" s="37"/>
      <c r="AB339" s="713" t="str">
        <f>IF(COUNTA(SalCommune[[#This Row],[Nom]:[heures annuelles
selon contrat(s)]])=0,"",SalCommune[[#This Row],[Total global]]-ABS(SalCommune[[#This Row],[Dont non opposable]]))</f>
        <v/>
      </c>
      <c r="AC339" s="8"/>
      <c r="AD339" s="63"/>
      <c r="AE339" s="430"/>
      <c r="AF339" s="430"/>
      <c r="AG339" s="430"/>
      <c r="AH339" s="181"/>
      <c r="AI339" s="194">
        <f>IF(COUNTA(SalCommune[[#This Row],[N°]:[heures annuelles
selon contrat(s)]])=0,"",REVEX!$E$9)</f>
        <v>0</v>
      </c>
      <c r="AJ339" s="72"/>
    </row>
    <row r="340" spans="1:36" x14ac:dyDescent="0.25">
      <c r="A340" s="72"/>
      <c r="B340" s="725" t="str">
        <f>IF(SalCommune[[#This Row],[Matricule]]="","",MAX($B$7:B339)+1)</f>
        <v/>
      </c>
      <c r="C340" s="8"/>
      <c r="D340" s="8"/>
      <c r="E340" s="20"/>
      <c r="F340" s="8"/>
      <c r="G340" s="8"/>
      <c r="H340" s="9"/>
      <c r="I340" s="9"/>
      <c r="J340" s="9"/>
      <c r="K340" s="714"/>
      <c r="L340" s="714"/>
      <c r="M340" s="9"/>
      <c r="N340" s="9"/>
      <c r="O340" s="9"/>
      <c r="P34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0" s="9"/>
      <c r="R340" s="9"/>
      <c r="S340" s="9"/>
      <c r="T340" s="37"/>
      <c r="U340" s="37"/>
      <c r="V340" s="37"/>
      <c r="W340" s="37"/>
      <c r="X340" s="37"/>
      <c r="Y340" s="37"/>
      <c r="Z34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0" s="37"/>
      <c r="AB340" s="713" t="str">
        <f>IF(COUNTA(SalCommune[[#This Row],[Nom]:[heures annuelles
selon contrat(s)]])=0,"",SalCommune[[#This Row],[Total global]]-ABS(SalCommune[[#This Row],[Dont non opposable]]))</f>
        <v/>
      </c>
      <c r="AC340" s="8"/>
      <c r="AD340" s="63"/>
      <c r="AE340" s="430"/>
      <c r="AF340" s="430"/>
      <c r="AG340" s="430"/>
      <c r="AH340" s="181"/>
      <c r="AI340" s="194">
        <f>IF(COUNTA(SalCommune[[#This Row],[N°]:[heures annuelles
selon contrat(s)]])=0,"",REVEX!$E$9)</f>
        <v>0</v>
      </c>
      <c r="AJ340" s="72"/>
    </row>
    <row r="341" spans="1:36" x14ac:dyDescent="0.25">
      <c r="A341" s="72"/>
      <c r="B341" s="725" t="str">
        <f>IF(SalCommune[[#This Row],[Matricule]]="","",MAX($B$7:B340)+1)</f>
        <v/>
      </c>
      <c r="C341" s="8"/>
      <c r="D341" s="8"/>
      <c r="E341" s="20"/>
      <c r="F341" s="8"/>
      <c r="G341" s="8"/>
      <c r="H341" s="9"/>
      <c r="I341" s="9"/>
      <c r="J341" s="9"/>
      <c r="K341" s="714"/>
      <c r="L341" s="714"/>
      <c r="M341" s="9"/>
      <c r="N341" s="9"/>
      <c r="O341" s="9"/>
      <c r="P34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1" s="9"/>
      <c r="R341" s="9"/>
      <c r="S341" s="9"/>
      <c r="T341" s="37"/>
      <c r="U341" s="37"/>
      <c r="V341" s="37"/>
      <c r="W341" s="37"/>
      <c r="X341" s="37"/>
      <c r="Y341" s="37"/>
      <c r="Z34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1" s="37"/>
      <c r="AB341" s="713" t="str">
        <f>IF(COUNTA(SalCommune[[#This Row],[Nom]:[heures annuelles
selon contrat(s)]])=0,"",SalCommune[[#This Row],[Total global]]-ABS(SalCommune[[#This Row],[Dont non opposable]]))</f>
        <v/>
      </c>
      <c r="AC341" s="8"/>
      <c r="AD341" s="63"/>
      <c r="AE341" s="430"/>
      <c r="AF341" s="430"/>
      <c r="AG341" s="430"/>
      <c r="AH341" s="181"/>
      <c r="AI341" s="194">
        <f>IF(COUNTA(SalCommune[[#This Row],[N°]:[heures annuelles
selon contrat(s)]])=0,"",REVEX!$E$9)</f>
        <v>0</v>
      </c>
      <c r="AJ341" s="72"/>
    </row>
    <row r="342" spans="1:36" x14ac:dyDescent="0.25">
      <c r="A342" s="72"/>
      <c r="B342" s="725" t="str">
        <f>IF(SalCommune[[#This Row],[Matricule]]="","",MAX($B$7:B341)+1)</f>
        <v/>
      </c>
      <c r="C342" s="8"/>
      <c r="D342" s="8"/>
      <c r="E342" s="20"/>
      <c r="F342" s="8"/>
      <c r="G342" s="8"/>
      <c r="H342" s="9"/>
      <c r="I342" s="9"/>
      <c r="J342" s="9"/>
      <c r="K342" s="714"/>
      <c r="L342" s="714"/>
      <c r="M342" s="9"/>
      <c r="N342" s="9"/>
      <c r="O342" s="9"/>
      <c r="P34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2" s="9"/>
      <c r="R342" s="9"/>
      <c r="S342" s="9"/>
      <c r="T342" s="37"/>
      <c r="U342" s="37"/>
      <c r="V342" s="37"/>
      <c r="W342" s="37"/>
      <c r="X342" s="37"/>
      <c r="Y342" s="37"/>
      <c r="Z34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2" s="37"/>
      <c r="AB342" s="713" t="str">
        <f>IF(COUNTA(SalCommune[[#This Row],[Nom]:[heures annuelles
selon contrat(s)]])=0,"",SalCommune[[#This Row],[Total global]]-ABS(SalCommune[[#This Row],[Dont non opposable]]))</f>
        <v/>
      </c>
      <c r="AC342" s="8"/>
      <c r="AD342" s="63"/>
      <c r="AE342" s="430"/>
      <c r="AF342" s="430"/>
      <c r="AG342" s="430"/>
      <c r="AH342" s="181"/>
      <c r="AI342" s="194">
        <f>IF(COUNTA(SalCommune[[#This Row],[N°]:[heures annuelles
selon contrat(s)]])=0,"",REVEX!$E$9)</f>
        <v>0</v>
      </c>
      <c r="AJ342" s="72"/>
    </row>
    <row r="343" spans="1:36" x14ac:dyDescent="0.25">
      <c r="A343" s="72"/>
      <c r="B343" s="725" t="str">
        <f>IF(SalCommune[[#This Row],[Matricule]]="","",MAX($B$7:B342)+1)</f>
        <v/>
      </c>
      <c r="C343" s="8"/>
      <c r="D343" s="8"/>
      <c r="E343" s="20"/>
      <c r="F343" s="8"/>
      <c r="G343" s="8"/>
      <c r="H343" s="9"/>
      <c r="I343" s="9"/>
      <c r="J343" s="9"/>
      <c r="K343" s="714"/>
      <c r="L343" s="714"/>
      <c r="M343" s="9"/>
      <c r="N343" s="9"/>
      <c r="O343" s="9"/>
      <c r="P34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3" s="9"/>
      <c r="R343" s="9"/>
      <c r="S343" s="9"/>
      <c r="T343" s="37"/>
      <c r="U343" s="37"/>
      <c r="V343" s="37"/>
      <c r="W343" s="37"/>
      <c r="X343" s="37"/>
      <c r="Y343" s="37"/>
      <c r="Z34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3" s="37"/>
      <c r="AB343" s="713" t="str">
        <f>IF(COUNTA(SalCommune[[#This Row],[Nom]:[heures annuelles
selon contrat(s)]])=0,"",SalCommune[[#This Row],[Total global]]-ABS(SalCommune[[#This Row],[Dont non opposable]]))</f>
        <v/>
      </c>
      <c r="AC343" s="8"/>
      <c r="AD343" s="63"/>
      <c r="AE343" s="430"/>
      <c r="AF343" s="430"/>
      <c r="AG343" s="430"/>
      <c r="AH343" s="181"/>
      <c r="AI343" s="194">
        <f>IF(COUNTA(SalCommune[[#This Row],[N°]:[heures annuelles
selon contrat(s)]])=0,"",REVEX!$E$9)</f>
        <v>0</v>
      </c>
      <c r="AJ343" s="72"/>
    </row>
    <row r="344" spans="1:36" x14ac:dyDescent="0.25">
      <c r="A344" s="72"/>
      <c r="B344" s="725" t="str">
        <f>IF(SalCommune[[#This Row],[Matricule]]="","",MAX($B$7:B343)+1)</f>
        <v/>
      </c>
      <c r="C344" s="8"/>
      <c r="D344" s="8"/>
      <c r="E344" s="20"/>
      <c r="F344" s="8"/>
      <c r="G344" s="8"/>
      <c r="H344" s="9"/>
      <c r="I344" s="9"/>
      <c r="J344" s="9"/>
      <c r="K344" s="714"/>
      <c r="L344" s="714"/>
      <c r="M344" s="9"/>
      <c r="N344" s="9"/>
      <c r="O344" s="9"/>
      <c r="P34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4" s="9"/>
      <c r="R344" s="9"/>
      <c r="S344" s="9"/>
      <c r="T344" s="37"/>
      <c r="U344" s="37"/>
      <c r="V344" s="37"/>
      <c r="W344" s="37"/>
      <c r="X344" s="37"/>
      <c r="Y344" s="37"/>
      <c r="Z34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4" s="37"/>
      <c r="AB344" s="713" t="str">
        <f>IF(COUNTA(SalCommune[[#This Row],[Nom]:[heures annuelles
selon contrat(s)]])=0,"",SalCommune[[#This Row],[Total global]]-ABS(SalCommune[[#This Row],[Dont non opposable]]))</f>
        <v/>
      </c>
      <c r="AC344" s="8"/>
      <c r="AD344" s="63"/>
      <c r="AE344" s="430"/>
      <c r="AF344" s="430"/>
      <c r="AG344" s="430"/>
      <c r="AH344" s="181"/>
      <c r="AI344" s="194">
        <f>IF(COUNTA(SalCommune[[#This Row],[N°]:[heures annuelles
selon contrat(s)]])=0,"",REVEX!$E$9)</f>
        <v>0</v>
      </c>
      <c r="AJ344" s="72"/>
    </row>
    <row r="345" spans="1:36" x14ac:dyDescent="0.25">
      <c r="A345" s="72"/>
      <c r="B345" s="725" t="str">
        <f>IF(SalCommune[[#This Row],[Matricule]]="","",MAX($B$7:B344)+1)</f>
        <v/>
      </c>
      <c r="C345" s="8"/>
      <c r="D345" s="8"/>
      <c r="E345" s="20"/>
      <c r="F345" s="8"/>
      <c r="G345" s="8"/>
      <c r="H345" s="9"/>
      <c r="I345" s="9"/>
      <c r="J345" s="9"/>
      <c r="K345" s="714"/>
      <c r="L345" s="714"/>
      <c r="M345" s="9"/>
      <c r="N345" s="9"/>
      <c r="O345" s="9"/>
      <c r="P34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5" s="9"/>
      <c r="R345" s="9"/>
      <c r="S345" s="9"/>
      <c r="T345" s="37"/>
      <c r="U345" s="37"/>
      <c r="V345" s="37"/>
      <c r="W345" s="37"/>
      <c r="X345" s="37"/>
      <c r="Y345" s="37"/>
      <c r="Z34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5" s="37"/>
      <c r="AB345" s="713" t="str">
        <f>IF(COUNTA(SalCommune[[#This Row],[Nom]:[heures annuelles
selon contrat(s)]])=0,"",SalCommune[[#This Row],[Total global]]-ABS(SalCommune[[#This Row],[Dont non opposable]]))</f>
        <v/>
      </c>
      <c r="AC345" s="8"/>
      <c r="AD345" s="63"/>
      <c r="AE345" s="430"/>
      <c r="AF345" s="430"/>
      <c r="AG345" s="430"/>
      <c r="AH345" s="181"/>
      <c r="AI345" s="194">
        <f>IF(COUNTA(SalCommune[[#This Row],[N°]:[heures annuelles
selon contrat(s)]])=0,"",REVEX!$E$9)</f>
        <v>0</v>
      </c>
      <c r="AJ345" s="72"/>
    </row>
    <row r="346" spans="1:36" x14ac:dyDescent="0.25">
      <c r="A346" s="72"/>
      <c r="B346" s="725" t="str">
        <f>IF(SalCommune[[#This Row],[Matricule]]="","",MAX($B$7:B345)+1)</f>
        <v/>
      </c>
      <c r="C346" s="8"/>
      <c r="D346" s="8"/>
      <c r="E346" s="20"/>
      <c r="F346" s="8"/>
      <c r="G346" s="8"/>
      <c r="H346" s="9"/>
      <c r="I346" s="9"/>
      <c r="J346" s="9"/>
      <c r="K346" s="714"/>
      <c r="L346" s="714"/>
      <c r="M346" s="9"/>
      <c r="N346" s="9"/>
      <c r="O346" s="9"/>
      <c r="P34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6" s="9"/>
      <c r="R346" s="9"/>
      <c r="S346" s="9"/>
      <c r="T346" s="37"/>
      <c r="U346" s="37"/>
      <c r="V346" s="37"/>
      <c r="W346" s="37"/>
      <c r="X346" s="37"/>
      <c r="Y346" s="37"/>
      <c r="Z34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6" s="37"/>
      <c r="AB346" s="713" t="str">
        <f>IF(COUNTA(SalCommune[[#This Row],[Nom]:[heures annuelles
selon contrat(s)]])=0,"",SalCommune[[#This Row],[Total global]]-ABS(SalCommune[[#This Row],[Dont non opposable]]))</f>
        <v/>
      </c>
      <c r="AC346" s="8"/>
      <c r="AD346" s="63"/>
      <c r="AE346" s="430"/>
      <c r="AF346" s="430"/>
      <c r="AG346" s="430"/>
      <c r="AH346" s="181"/>
      <c r="AI346" s="194">
        <f>IF(COUNTA(SalCommune[[#This Row],[N°]:[heures annuelles
selon contrat(s)]])=0,"",REVEX!$E$9)</f>
        <v>0</v>
      </c>
      <c r="AJ346" s="72"/>
    </row>
    <row r="347" spans="1:36" x14ac:dyDescent="0.25">
      <c r="A347" s="72"/>
      <c r="B347" s="725" t="str">
        <f>IF(SalCommune[[#This Row],[Matricule]]="","",MAX($B$7:B346)+1)</f>
        <v/>
      </c>
      <c r="C347" s="8"/>
      <c r="D347" s="8"/>
      <c r="E347" s="20"/>
      <c r="F347" s="8"/>
      <c r="G347" s="8"/>
      <c r="H347" s="9"/>
      <c r="I347" s="9"/>
      <c r="J347" s="9"/>
      <c r="K347" s="714"/>
      <c r="L347" s="714"/>
      <c r="M347" s="9"/>
      <c r="N347" s="9"/>
      <c r="O347" s="9"/>
      <c r="P34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7" s="9"/>
      <c r="R347" s="9"/>
      <c r="S347" s="9"/>
      <c r="T347" s="37"/>
      <c r="U347" s="37"/>
      <c r="V347" s="37"/>
      <c r="W347" s="37"/>
      <c r="X347" s="37"/>
      <c r="Y347" s="37"/>
      <c r="Z34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7" s="37"/>
      <c r="AB347" s="713" t="str">
        <f>IF(COUNTA(SalCommune[[#This Row],[Nom]:[heures annuelles
selon contrat(s)]])=0,"",SalCommune[[#This Row],[Total global]]-ABS(SalCommune[[#This Row],[Dont non opposable]]))</f>
        <v/>
      </c>
      <c r="AC347" s="8"/>
      <c r="AD347" s="63"/>
      <c r="AE347" s="430"/>
      <c r="AF347" s="430"/>
      <c r="AG347" s="430"/>
      <c r="AH347" s="181"/>
      <c r="AI347" s="194">
        <f>IF(COUNTA(SalCommune[[#This Row],[N°]:[heures annuelles
selon contrat(s)]])=0,"",REVEX!$E$9)</f>
        <v>0</v>
      </c>
      <c r="AJ347" s="72"/>
    </row>
    <row r="348" spans="1:36" x14ac:dyDescent="0.25">
      <c r="A348" s="72"/>
      <c r="B348" s="725" t="str">
        <f>IF(SalCommune[[#This Row],[Matricule]]="","",MAX($B$7:B347)+1)</f>
        <v/>
      </c>
      <c r="C348" s="8"/>
      <c r="D348" s="8"/>
      <c r="E348" s="20"/>
      <c r="F348" s="8"/>
      <c r="G348" s="8"/>
      <c r="H348" s="9"/>
      <c r="I348" s="9"/>
      <c r="J348" s="9"/>
      <c r="K348" s="714"/>
      <c r="L348" s="714"/>
      <c r="M348" s="9"/>
      <c r="N348" s="9"/>
      <c r="O348" s="9"/>
      <c r="P34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8" s="9"/>
      <c r="R348" s="9"/>
      <c r="S348" s="9"/>
      <c r="T348" s="37"/>
      <c r="U348" s="37"/>
      <c r="V348" s="37"/>
      <c r="W348" s="37"/>
      <c r="X348" s="37"/>
      <c r="Y348" s="37"/>
      <c r="Z34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8" s="37"/>
      <c r="AB348" s="713" t="str">
        <f>IF(COUNTA(SalCommune[[#This Row],[Nom]:[heures annuelles
selon contrat(s)]])=0,"",SalCommune[[#This Row],[Total global]]-ABS(SalCommune[[#This Row],[Dont non opposable]]))</f>
        <v/>
      </c>
      <c r="AC348" s="8"/>
      <c r="AD348" s="63"/>
      <c r="AE348" s="430"/>
      <c r="AF348" s="430"/>
      <c r="AG348" s="430"/>
      <c r="AH348" s="181"/>
      <c r="AI348" s="194">
        <f>IF(COUNTA(SalCommune[[#This Row],[N°]:[heures annuelles
selon contrat(s)]])=0,"",REVEX!$E$9)</f>
        <v>0</v>
      </c>
      <c r="AJ348" s="72"/>
    </row>
    <row r="349" spans="1:36" x14ac:dyDescent="0.25">
      <c r="A349" s="72"/>
      <c r="B349" s="725" t="str">
        <f>IF(SalCommune[[#This Row],[Matricule]]="","",MAX($B$7:B348)+1)</f>
        <v/>
      </c>
      <c r="C349" s="8"/>
      <c r="D349" s="8"/>
      <c r="E349" s="20"/>
      <c r="F349" s="8"/>
      <c r="G349" s="8"/>
      <c r="H349" s="9"/>
      <c r="I349" s="9"/>
      <c r="J349" s="9"/>
      <c r="K349" s="714"/>
      <c r="L349" s="714"/>
      <c r="M349" s="9"/>
      <c r="N349" s="9"/>
      <c r="O349" s="9"/>
      <c r="P34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49" s="9"/>
      <c r="R349" s="9"/>
      <c r="S349" s="9"/>
      <c r="T349" s="37"/>
      <c r="U349" s="37"/>
      <c r="V349" s="37"/>
      <c r="W349" s="37"/>
      <c r="X349" s="37"/>
      <c r="Y349" s="37"/>
      <c r="Z34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49" s="37"/>
      <c r="AB349" s="713" t="str">
        <f>IF(COUNTA(SalCommune[[#This Row],[Nom]:[heures annuelles
selon contrat(s)]])=0,"",SalCommune[[#This Row],[Total global]]-ABS(SalCommune[[#This Row],[Dont non opposable]]))</f>
        <v/>
      </c>
      <c r="AC349" s="8"/>
      <c r="AD349" s="63"/>
      <c r="AE349" s="430"/>
      <c r="AF349" s="430"/>
      <c r="AG349" s="430"/>
      <c r="AH349" s="181"/>
      <c r="AI349" s="194">
        <f>IF(COUNTA(SalCommune[[#This Row],[N°]:[heures annuelles
selon contrat(s)]])=0,"",REVEX!$E$9)</f>
        <v>0</v>
      </c>
      <c r="AJ349" s="72"/>
    </row>
    <row r="350" spans="1:36" x14ac:dyDescent="0.25">
      <c r="A350" s="72"/>
      <c r="B350" s="725" t="str">
        <f>IF(SalCommune[[#This Row],[Matricule]]="","",MAX($B$7:B349)+1)</f>
        <v/>
      </c>
      <c r="C350" s="8"/>
      <c r="D350" s="8"/>
      <c r="E350" s="20"/>
      <c r="F350" s="8"/>
      <c r="G350" s="8"/>
      <c r="H350" s="9"/>
      <c r="I350" s="9"/>
      <c r="J350" s="9"/>
      <c r="K350" s="714"/>
      <c r="L350" s="714"/>
      <c r="M350" s="9"/>
      <c r="N350" s="9"/>
      <c r="O350" s="9"/>
      <c r="P35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0" s="9"/>
      <c r="R350" s="9"/>
      <c r="S350" s="9"/>
      <c r="T350" s="37"/>
      <c r="U350" s="37"/>
      <c r="V350" s="37"/>
      <c r="W350" s="37"/>
      <c r="X350" s="37"/>
      <c r="Y350" s="37"/>
      <c r="Z35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0" s="37"/>
      <c r="AB350" s="713" t="str">
        <f>IF(COUNTA(SalCommune[[#This Row],[Nom]:[heures annuelles
selon contrat(s)]])=0,"",SalCommune[[#This Row],[Total global]]-ABS(SalCommune[[#This Row],[Dont non opposable]]))</f>
        <v/>
      </c>
      <c r="AC350" s="8"/>
      <c r="AD350" s="63"/>
      <c r="AE350" s="430"/>
      <c r="AF350" s="430"/>
      <c r="AG350" s="430"/>
      <c r="AH350" s="181"/>
      <c r="AI350" s="194">
        <f>IF(COUNTA(SalCommune[[#This Row],[N°]:[heures annuelles
selon contrat(s)]])=0,"",REVEX!$E$9)</f>
        <v>0</v>
      </c>
      <c r="AJ350" s="72"/>
    </row>
    <row r="351" spans="1:36" x14ac:dyDescent="0.25">
      <c r="A351" s="72"/>
      <c r="B351" s="725" t="str">
        <f>IF(SalCommune[[#This Row],[Matricule]]="","",MAX($B$7:B350)+1)</f>
        <v/>
      </c>
      <c r="C351" s="8"/>
      <c r="D351" s="8"/>
      <c r="E351" s="20"/>
      <c r="F351" s="8"/>
      <c r="G351" s="8"/>
      <c r="H351" s="9"/>
      <c r="I351" s="9"/>
      <c r="J351" s="9"/>
      <c r="K351" s="714"/>
      <c r="L351" s="714"/>
      <c r="M351" s="9"/>
      <c r="N351" s="9"/>
      <c r="O351" s="9"/>
      <c r="P35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1" s="9"/>
      <c r="R351" s="9"/>
      <c r="S351" s="9"/>
      <c r="T351" s="37"/>
      <c r="U351" s="37"/>
      <c r="V351" s="37"/>
      <c r="W351" s="37"/>
      <c r="X351" s="37"/>
      <c r="Y351" s="37"/>
      <c r="Z35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1" s="37"/>
      <c r="AB351" s="713" t="str">
        <f>IF(COUNTA(SalCommune[[#This Row],[Nom]:[heures annuelles
selon contrat(s)]])=0,"",SalCommune[[#This Row],[Total global]]-ABS(SalCommune[[#This Row],[Dont non opposable]]))</f>
        <v/>
      </c>
      <c r="AC351" s="8"/>
      <c r="AD351" s="63"/>
      <c r="AE351" s="430"/>
      <c r="AF351" s="430"/>
      <c r="AG351" s="430"/>
      <c r="AH351" s="181"/>
      <c r="AI351" s="194">
        <f>IF(COUNTA(SalCommune[[#This Row],[N°]:[heures annuelles
selon contrat(s)]])=0,"",REVEX!$E$9)</f>
        <v>0</v>
      </c>
      <c r="AJ351" s="72"/>
    </row>
    <row r="352" spans="1:36" x14ac:dyDescent="0.25">
      <c r="A352" s="72"/>
      <c r="B352" s="725" t="str">
        <f>IF(SalCommune[[#This Row],[Matricule]]="","",MAX($B$7:B351)+1)</f>
        <v/>
      </c>
      <c r="C352" s="8"/>
      <c r="D352" s="8"/>
      <c r="E352" s="20"/>
      <c r="F352" s="8"/>
      <c r="G352" s="8"/>
      <c r="H352" s="9"/>
      <c r="I352" s="9"/>
      <c r="J352" s="9"/>
      <c r="K352" s="714"/>
      <c r="L352" s="714"/>
      <c r="M352" s="9"/>
      <c r="N352" s="9"/>
      <c r="O352" s="9"/>
      <c r="P35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2" s="9"/>
      <c r="R352" s="9"/>
      <c r="S352" s="9"/>
      <c r="T352" s="37"/>
      <c r="U352" s="37"/>
      <c r="V352" s="37"/>
      <c r="W352" s="37"/>
      <c r="X352" s="37"/>
      <c r="Y352" s="37"/>
      <c r="Z35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2" s="37"/>
      <c r="AB352" s="713" t="str">
        <f>IF(COUNTA(SalCommune[[#This Row],[Nom]:[heures annuelles
selon contrat(s)]])=0,"",SalCommune[[#This Row],[Total global]]-ABS(SalCommune[[#This Row],[Dont non opposable]]))</f>
        <v/>
      </c>
      <c r="AC352" s="8"/>
      <c r="AD352" s="63"/>
      <c r="AE352" s="430"/>
      <c r="AF352" s="430"/>
      <c r="AG352" s="430"/>
      <c r="AH352" s="181"/>
      <c r="AI352" s="194">
        <f>IF(COUNTA(SalCommune[[#This Row],[N°]:[heures annuelles
selon contrat(s)]])=0,"",REVEX!$E$9)</f>
        <v>0</v>
      </c>
      <c r="AJ352" s="72"/>
    </row>
    <row r="353" spans="1:36" x14ac:dyDescent="0.25">
      <c r="A353" s="72"/>
      <c r="B353" s="725" t="str">
        <f>IF(SalCommune[[#This Row],[Matricule]]="","",MAX($B$7:B352)+1)</f>
        <v/>
      </c>
      <c r="C353" s="8"/>
      <c r="D353" s="8"/>
      <c r="E353" s="20"/>
      <c r="F353" s="8"/>
      <c r="G353" s="8"/>
      <c r="H353" s="9"/>
      <c r="I353" s="9"/>
      <c r="J353" s="9"/>
      <c r="K353" s="714"/>
      <c r="L353" s="714"/>
      <c r="M353" s="9"/>
      <c r="N353" s="9"/>
      <c r="O353" s="9"/>
      <c r="P35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3" s="9"/>
      <c r="R353" s="9"/>
      <c r="S353" s="9"/>
      <c r="T353" s="37"/>
      <c r="U353" s="37"/>
      <c r="V353" s="37"/>
      <c r="W353" s="37"/>
      <c r="X353" s="37"/>
      <c r="Y353" s="37"/>
      <c r="Z35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3" s="37"/>
      <c r="AB353" s="713" t="str">
        <f>IF(COUNTA(SalCommune[[#This Row],[Nom]:[heures annuelles
selon contrat(s)]])=0,"",SalCommune[[#This Row],[Total global]]-ABS(SalCommune[[#This Row],[Dont non opposable]]))</f>
        <v/>
      </c>
      <c r="AC353" s="8"/>
      <c r="AD353" s="63"/>
      <c r="AE353" s="430"/>
      <c r="AF353" s="430"/>
      <c r="AG353" s="430"/>
      <c r="AH353" s="181"/>
      <c r="AI353" s="194">
        <f>IF(COUNTA(SalCommune[[#This Row],[N°]:[heures annuelles
selon contrat(s)]])=0,"",REVEX!$E$9)</f>
        <v>0</v>
      </c>
      <c r="AJ353" s="72"/>
    </row>
    <row r="354" spans="1:36" x14ac:dyDescent="0.25">
      <c r="A354" s="72"/>
      <c r="B354" s="725" t="str">
        <f>IF(SalCommune[[#This Row],[Matricule]]="","",MAX($B$7:B353)+1)</f>
        <v/>
      </c>
      <c r="C354" s="8"/>
      <c r="D354" s="8"/>
      <c r="E354" s="20"/>
      <c r="F354" s="8"/>
      <c r="G354" s="8"/>
      <c r="H354" s="9"/>
      <c r="I354" s="9"/>
      <c r="J354" s="9"/>
      <c r="K354" s="714"/>
      <c r="L354" s="714"/>
      <c r="M354" s="9"/>
      <c r="N354" s="9"/>
      <c r="O354" s="9"/>
      <c r="P35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4" s="9"/>
      <c r="R354" s="9"/>
      <c r="S354" s="9"/>
      <c r="T354" s="37"/>
      <c r="U354" s="37"/>
      <c r="V354" s="37"/>
      <c r="W354" s="37"/>
      <c r="X354" s="37"/>
      <c r="Y354" s="37"/>
      <c r="Z35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4" s="37"/>
      <c r="AB354" s="713" t="str">
        <f>IF(COUNTA(SalCommune[[#This Row],[Nom]:[heures annuelles
selon contrat(s)]])=0,"",SalCommune[[#This Row],[Total global]]-ABS(SalCommune[[#This Row],[Dont non opposable]]))</f>
        <v/>
      </c>
      <c r="AC354" s="8"/>
      <c r="AD354" s="63"/>
      <c r="AE354" s="430"/>
      <c r="AF354" s="430"/>
      <c r="AG354" s="430"/>
      <c r="AH354" s="181"/>
      <c r="AI354" s="194">
        <f>IF(COUNTA(SalCommune[[#This Row],[N°]:[heures annuelles
selon contrat(s)]])=0,"",REVEX!$E$9)</f>
        <v>0</v>
      </c>
      <c r="AJ354" s="72"/>
    </row>
    <row r="355" spans="1:36" x14ac:dyDescent="0.25">
      <c r="A355" s="72"/>
      <c r="B355" s="725" t="str">
        <f>IF(SalCommune[[#This Row],[Matricule]]="","",MAX($B$7:B354)+1)</f>
        <v/>
      </c>
      <c r="C355" s="8"/>
      <c r="D355" s="8"/>
      <c r="E355" s="20"/>
      <c r="F355" s="8"/>
      <c r="G355" s="8"/>
      <c r="H355" s="9"/>
      <c r="I355" s="9"/>
      <c r="J355" s="9"/>
      <c r="K355" s="714"/>
      <c r="L355" s="714"/>
      <c r="M355" s="9"/>
      <c r="N355" s="9"/>
      <c r="O355" s="9"/>
      <c r="P35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5" s="9"/>
      <c r="R355" s="9"/>
      <c r="S355" s="9"/>
      <c r="T355" s="37"/>
      <c r="U355" s="37"/>
      <c r="V355" s="37"/>
      <c r="W355" s="37"/>
      <c r="X355" s="37"/>
      <c r="Y355" s="37"/>
      <c r="Z35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5" s="37"/>
      <c r="AB355" s="713" t="str">
        <f>IF(COUNTA(SalCommune[[#This Row],[Nom]:[heures annuelles
selon contrat(s)]])=0,"",SalCommune[[#This Row],[Total global]]-ABS(SalCommune[[#This Row],[Dont non opposable]]))</f>
        <v/>
      </c>
      <c r="AC355" s="8"/>
      <c r="AD355" s="63"/>
      <c r="AE355" s="430"/>
      <c r="AF355" s="430"/>
      <c r="AG355" s="430"/>
      <c r="AH355" s="181"/>
      <c r="AI355" s="194">
        <f>IF(COUNTA(SalCommune[[#This Row],[N°]:[heures annuelles
selon contrat(s)]])=0,"",REVEX!$E$9)</f>
        <v>0</v>
      </c>
      <c r="AJ355" s="72"/>
    </row>
    <row r="356" spans="1:36" x14ac:dyDescent="0.25">
      <c r="A356" s="72"/>
      <c r="B356" s="725" t="str">
        <f>IF(SalCommune[[#This Row],[Matricule]]="","",MAX($B$7:B355)+1)</f>
        <v/>
      </c>
      <c r="C356" s="8"/>
      <c r="D356" s="8"/>
      <c r="E356" s="20"/>
      <c r="F356" s="8"/>
      <c r="G356" s="8"/>
      <c r="H356" s="9"/>
      <c r="I356" s="9"/>
      <c r="J356" s="9"/>
      <c r="K356" s="714"/>
      <c r="L356" s="714"/>
      <c r="M356" s="9"/>
      <c r="N356" s="9"/>
      <c r="O356" s="9"/>
      <c r="P35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6" s="9"/>
      <c r="R356" s="9"/>
      <c r="S356" s="9"/>
      <c r="T356" s="37"/>
      <c r="U356" s="37"/>
      <c r="V356" s="37"/>
      <c r="W356" s="37"/>
      <c r="X356" s="37"/>
      <c r="Y356" s="37"/>
      <c r="Z35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6" s="37"/>
      <c r="AB356" s="713" t="str">
        <f>IF(COUNTA(SalCommune[[#This Row],[Nom]:[heures annuelles
selon contrat(s)]])=0,"",SalCommune[[#This Row],[Total global]]-ABS(SalCommune[[#This Row],[Dont non opposable]]))</f>
        <v/>
      </c>
      <c r="AC356" s="8"/>
      <c r="AD356" s="63"/>
      <c r="AE356" s="430"/>
      <c r="AF356" s="430"/>
      <c r="AG356" s="430"/>
      <c r="AH356" s="181"/>
      <c r="AI356" s="194">
        <f>IF(COUNTA(SalCommune[[#This Row],[N°]:[heures annuelles
selon contrat(s)]])=0,"",REVEX!$E$9)</f>
        <v>0</v>
      </c>
      <c r="AJ356" s="72"/>
    </row>
    <row r="357" spans="1:36" x14ac:dyDescent="0.25">
      <c r="A357" s="72"/>
      <c r="B357" s="725" t="str">
        <f>IF(SalCommune[[#This Row],[Matricule]]="","",MAX($B$7:B356)+1)</f>
        <v/>
      </c>
      <c r="C357" s="8"/>
      <c r="D357" s="8"/>
      <c r="E357" s="20"/>
      <c r="F357" s="8"/>
      <c r="G357" s="8"/>
      <c r="H357" s="9"/>
      <c r="I357" s="9"/>
      <c r="J357" s="9"/>
      <c r="K357" s="714"/>
      <c r="L357" s="714"/>
      <c r="M357" s="9"/>
      <c r="N357" s="9"/>
      <c r="O357" s="9"/>
      <c r="P35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7" s="9"/>
      <c r="R357" s="9"/>
      <c r="S357" s="9"/>
      <c r="T357" s="37"/>
      <c r="U357" s="37"/>
      <c r="V357" s="37"/>
      <c r="W357" s="37"/>
      <c r="X357" s="37"/>
      <c r="Y357" s="37"/>
      <c r="Z35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7" s="37"/>
      <c r="AB357" s="713" t="str">
        <f>IF(COUNTA(SalCommune[[#This Row],[Nom]:[heures annuelles
selon contrat(s)]])=0,"",SalCommune[[#This Row],[Total global]]-ABS(SalCommune[[#This Row],[Dont non opposable]]))</f>
        <v/>
      </c>
      <c r="AC357" s="8"/>
      <c r="AD357" s="63"/>
      <c r="AE357" s="430"/>
      <c r="AF357" s="430"/>
      <c r="AG357" s="430"/>
      <c r="AH357" s="181"/>
      <c r="AI357" s="194">
        <f>IF(COUNTA(SalCommune[[#This Row],[N°]:[heures annuelles
selon contrat(s)]])=0,"",REVEX!$E$9)</f>
        <v>0</v>
      </c>
      <c r="AJ357" s="72"/>
    </row>
    <row r="358" spans="1:36" x14ac:dyDescent="0.25">
      <c r="A358" s="72"/>
      <c r="B358" s="725" t="str">
        <f>IF(SalCommune[[#This Row],[Matricule]]="","",MAX($B$7:B357)+1)</f>
        <v/>
      </c>
      <c r="C358" s="8"/>
      <c r="D358" s="8"/>
      <c r="E358" s="20"/>
      <c r="F358" s="8"/>
      <c r="G358" s="8"/>
      <c r="H358" s="9"/>
      <c r="I358" s="9"/>
      <c r="J358" s="9"/>
      <c r="K358" s="714"/>
      <c r="L358" s="714"/>
      <c r="M358" s="9"/>
      <c r="N358" s="9"/>
      <c r="O358" s="9"/>
      <c r="P35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8" s="9"/>
      <c r="R358" s="9"/>
      <c r="S358" s="9"/>
      <c r="T358" s="37"/>
      <c r="U358" s="37"/>
      <c r="V358" s="37"/>
      <c r="W358" s="37"/>
      <c r="X358" s="37"/>
      <c r="Y358" s="37"/>
      <c r="Z35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8" s="37"/>
      <c r="AB358" s="713" t="str">
        <f>IF(COUNTA(SalCommune[[#This Row],[Nom]:[heures annuelles
selon contrat(s)]])=0,"",SalCommune[[#This Row],[Total global]]-ABS(SalCommune[[#This Row],[Dont non opposable]]))</f>
        <v/>
      </c>
      <c r="AC358" s="8"/>
      <c r="AD358" s="63"/>
      <c r="AE358" s="430"/>
      <c r="AF358" s="430"/>
      <c r="AG358" s="430"/>
      <c r="AH358" s="181"/>
      <c r="AI358" s="194">
        <f>IF(COUNTA(SalCommune[[#This Row],[N°]:[heures annuelles
selon contrat(s)]])=0,"",REVEX!$E$9)</f>
        <v>0</v>
      </c>
      <c r="AJ358" s="72"/>
    </row>
    <row r="359" spans="1:36" x14ac:dyDescent="0.25">
      <c r="A359" s="72"/>
      <c r="B359" s="725" t="str">
        <f>IF(SalCommune[[#This Row],[Matricule]]="","",MAX($B$7:B358)+1)</f>
        <v/>
      </c>
      <c r="C359" s="8"/>
      <c r="D359" s="8"/>
      <c r="E359" s="20"/>
      <c r="F359" s="8"/>
      <c r="G359" s="8"/>
      <c r="H359" s="9"/>
      <c r="I359" s="9"/>
      <c r="J359" s="9"/>
      <c r="K359" s="714"/>
      <c r="L359" s="714"/>
      <c r="M359" s="9"/>
      <c r="N359" s="9"/>
      <c r="O359" s="9"/>
      <c r="P35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59" s="9"/>
      <c r="R359" s="9"/>
      <c r="S359" s="9"/>
      <c r="T359" s="37"/>
      <c r="U359" s="37"/>
      <c r="V359" s="37"/>
      <c r="W359" s="37"/>
      <c r="X359" s="37"/>
      <c r="Y359" s="37"/>
      <c r="Z35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59" s="37"/>
      <c r="AB359" s="713" t="str">
        <f>IF(COUNTA(SalCommune[[#This Row],[Nom]:[heures annuelles
selon contrat(s)]])=0,"",SalCommune[[#This Row],[Total global]]-ABS(SalCommune[[#This Row],[Dont non opposable]]))</f>
        <v/>
      </c>
      <c r="AC359" s="8"/>
      <c r="AD359" s="63"/>
      <c r="AE359" s="430"/>
      <c r="AF359" s="430"/>
      <c r="AG359" s="430"/>
      <c r="AH359" s="181"/>
      <c r="AI359" s="194">
        <f>IF(COUNTA(SalCommune[[#This Row],[N°]:[heures annuelles
selon contrat(s)]])=0,"",REVEX!$E$9)</f>
        <v>0</v>
      </c>
      <c r="AJ359" s="72"/>
    </row>
    <row r="360" spans="1:36" x14ac:dyDescent="0.25">
      <c r="A360" s="72"/>
      <c r="B360" s="725" t="str">
        <f>IF(SalCommune[[#This Row],[Matricule]]="","",MAX($B$7:B359)+1)</f>
        <v/>
      </c>
      <c r="C360" s="8"/>
      <c r="D360" s="8"/>
      <c r="E360" s="20"/>
      <c r="F360" s="8"/>
      <c r="G360" s="8"/>
      <c r="H360" s="9"/>
      <c r="I360" s="9"/>
      <c r="J360" s="9"/>
      <c r="K360" s="714"/>
      <c r="L360" s="714"/>
      <c r="M360" s="9"/>
      <c r="N360" s="9"/>
      <c r="O360" s="9"/>
      <c r="P36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0" s="9"/>
      <c r="R360" s="9"/>
      <c r="S360" s="9"/>
      <c r="T360" s="37"/>
      <c r="U360" s="37"/>
      <c r="V360" s="37"/>
      <c r="W360" s="37"/>
      <c r="X360" s="37"/>
      <c r="Y360" s="37"/>
      <c r="Z36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0" s="37"/>
      <c r="AB360" s="713" t="str">
        <f>IF(COUNTA(SalCommune[[#This Row],[Nom]:[heures annuelles
selon contrat(s)]])=0,"",SalCommune[[#This Row],[Total global]]-ABS(SalCommune[[#This Row],[Dont non opposable]]))</f>
        <v/>
      </c>
      <c r="AC360" s="8"/>
      <c r="AD360" s="63"/>
      <c r="AE360" s="430"/>
      <c r="AF360" s="430"/>
      <c r="AG360" s="430"/>
      <c r="AH360" s="181"/>
      <c r="AI360" s="194">
        <f>IF(COUNTA(SalCommune[[#This Row],[N°]:[heures annuelles
selon contrat(s)]])=0,"",REVEX!$E$9)</f>
        <v>0</v>
      </c>
      <c r="AJ360" s="72"/>
    </row>
    <row r="361" spans="1:36" x14ac:dyDescent="0.25">
      <c r="A361" s="72"/>
      <c r="B361" s="725" t="str">
        <f>IF(SalCommune[[#This Row],[Matricule]]="","",MAX($B$7:B360)+1)</f>
        <v/>
      </c>
      <c r="C361" s="8"/>
      <c r="D361" s="8"/>
      <c r="E361" s="20"/>
      <c r="F361" s="8"/>
      <c r="G361" s="8"/>
      <c r="H361" s="9"/>
      <c r="I361" s="9"/>
      <c r="J361" s="9"/>
      <c r="K361" s="714"/>
      <c r="L361" s="714"/>
      <c r="M361" s="9"/>
      <c r="N361" s="9"/>
      <c r="O361" s="9"/>
      <c r="P36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1" s="9"/>
      <c r="R361" s="9"/>
      <c r="S361" s="9"/>
      <c r="T361" s="37"/>
      <c r="U361" s="37"/>
      <c r="V361" s="37"/>
      <c r="W361" s="37"/>
      <c r="X361" s="37"/>
      <c r="Y361" s="37"/>
      <c r="Z36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1" s="37"/>
      <c r="AB361" s="713" t="str">
        <f>IF(COUNTA(SalCommune[[#This Row],[Nom]:[heures annuelles
selon contrat(s)]])=0,"",SalCommune[[#This Row],[Total global]]-ABS(SalCommune[[#This Row],[Dont non opposable]]))</f>
        <v/>
      </c>
      <c r="AC361" s="8"/>
      <c r="AD361" s="63"/>
      <c r="AE361" s="430"/>
      <c r="AF361" s="430"/>
      <c r="AG361" s="430"/>
      <c r="AH361" s="181"/>
      <c r="AI361" s="194">
        <f>IF(COUNTA(SalCommune[[#This Row],[N°]:[heures annuelles
selon contrat(s)]])=0,"",REVEX!$E$9)</f>
        <v>0</v>
      </c>
      <c r="AJ361" s="72"/>
    </row>
    <row r="362" spans="1:36" x14ac:dyDescent="0.25">
      <c r="A362" s="72"/>
      <c r="B362" s="725" t="str">
        <f>IF(SalCommune[[#This Row],[Matricule]]="","",MAX($B$7:B361)+1)</f>
        <v/>
      </c>
      <c r="C362" s="8"/>
      <c r="D362" s="8"/>
      <c r="E362" s="20"/>
      <c r="F362" s="8"/>
      <c r="G362" s="8"/>
      <c r="H362" s="9"/>
      <c r="I362" s="9"/>
      <c r="J362" s="9"/>
      <c r="K362" s="714"/>
      <c r="L362" s="714"/>
      <c r="M362" s="9"/>
      <c r="N362" s="9"/>
      <c r="O362" s="9"/>
      <c r="P36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2" s="9"/>
      <c r="R362" s="9"/>
      <c r="S362" s="9"/>
      <c r="T362" s="37"/>
      <c r="U362" s="37"/>
      <c r="V362" s="37"/>
      <c r="W362" s="37"/>
      <c r="X362" s="37"/>
      <c r="Y362" s="37"/>
      <c r="Z36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2" s="37"/>
      <c r="AB362" s="713" t="str">
        <f>IF(COUNTA(SalCommune[[#This Row],[Nom]:[heures annuelles
selon contrat(s)]])=0,"",SalCommune[[#This Row],[Total global]]-ABS(SalCommune[[#This Row],[Dont non opposable]]))</f>
        <v/>
      </c>
      <c r="AC362" s="8"/>
      <c r="AD362" s="63"/>
      <c r="AE362" s="430"/>
      <c r="AF362" s="430"/>
      <c r="AG362" s="430"/>
      <c r="AH362" s="181"/>
      <c r="AI362" s="194">
        <f>IF(COUNTA(SalCommune[[#This Row],[N°]:[heures annuelles
selon contrat(s)]])=0,"",REVEX!$E$9)</f>
        <v>0</v>
      </c>
      <c r="AJ362" s="72"/>
    </row>
    <row r="363" spans="1:36" x14ac:dyDescent="0.25">
      <c r="A363" s="72"/>
      <c r="B363" s="725" t="str">
        <f>IF(SalCommune[[#This Row],[Matricule]]="","",MAX($B$7:B362)+1)</f>
        <v/>
      </c>
      <c r="C363" s="8"/>
      <c r="D363" s="8"/>
      <c r="E363" s="20"/>
      <c r="F363" s="8"/>
      <c r="G363" s="8"/>
      <c r="H363" s="9"/>
      <c r="I363" s="9"/>
      <c r="J363" s="9"/>
      <c r="K363" s="714"/>
      <c r="L363" s="714"/>
      <c r="M363" s="9"/>
      <c r="N363" s="9"/>
      <c r="O363" s="9"/>
      <c r="P36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3" s="9"/>
      <c r="R363" s="9"/>
      <c r="S363" s="9"/>
      <c r="T363" s="37"/>
      <c r="U363" s="37"/>
      <c r="V363" s="37"/>
      <c r="W363" s="37"/>
      <c r="X363" s="37"/>
      <c r="Y363" s="37"/>
      <c r="Z36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3" s="37"/>
      <c r="AB363" s="713" t="str">
        <f>IF(COUNTA(SalCommune[[#This Row],[Nom]:[heures annuelles
selon contrat(s)]])=0,"",SalCommune[[#This Row],[Total global]]-ABS(SalCommune[[#This Row],[Dont non opposable]]))</f>
        <v/>
      </c>
      <c r="AC363" s="8"/>
      <c r="AD363" s="63"/>
      <c r="AE363" s="430"/>
      <c r="AF363" s="430"/>
      <c r="AG363" s="430"/>
      <c r="AH363" s="181"/>
      <c r="AI363" s="194">
        <f>IF(COUNTA(SalCommune[[#This Row],[N°]:[heures annuelles
selon contrat(s)]])=0,"",REVEX!$E$9)</f>
        <v>0</v>
      </c>
      <c r="AJ363" s="72"/>
    </row>
    <row r="364" spans="1:36" x14ac:dyDescent="0.25">
      <c r="A364" s="72"/>
      <c r="B364" s="725" t="str">
        <f>IF(SalCommune[[#This Row],[Matricule]]="","",MAX($B$7:B363)+1)</f>
        <v/>
      </c>
      <c r="C364" s="8"/>
      <c r="D364" s="8"/>
      <c r="E364" s="20"/>
      <c r="F364" s="8"/>
      <c r="G364" s="8"/>
      <c r="H364" s="9"/>
      <c r="I364" s="9"/>
      <c r="J364" s="9"/>
      <c r="K364" s="714"/>
      <c r="L364" s="714"/>
      <c r="M364" s="9"/>
      <c r="N364" s="9"/>
      <c r="O364" s="9"/>
      <c r="P36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4" s="9"/>
      <c r="R364" s="9"/>
      <c r="S364" s="9"/>
      <c r="T364" s="37"/>
      <c r="U364" s="37"/>
      <c r="V364" s="37"/>
      <c r="W364" s="37"/>
      <c r="X364" s="37"/>
      <c r="Y364" s="37"/>
      <c r="Z36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4" s="37"/>
      <c r="AB364" s="713" t="str">
        <f>IF(COUNTA(SalCommune[[#This Row],[Nom]:[heures annuelles
selon contrat(s)]])=0,"",SalCommune[[#This Row],[Total global]]-ABS(SalCommune[[#This Row],[Dont non opposable]]))</f>
        <v/>
      </c>
      <c r="AC364" s="8"/>
      <c r="AD364" s="63"/>
      <c r="AE364" s="430"/>
      <c r="AF364" s="430"/>
      <c r="AG364" s="430"/>
      <c r="AH364" s="181"/>
      <c r="AI364" s="194">
        <f>IF(COUNTA(SalCommune[[#This Row],[N°]:[heures annuelles
selon contrat(s)]])=0,"",REVEX!$E$9)</f>
        <v>0</v>
      </c>
      <c r="AJ364" s="72"/>
    </row>
    <row r="365" spans="1:36" x14ac:dyDescent="0.25">
      <c r="A365" s="72"/>
      <c r="B365" s="725" t="str">
        <f>IF(SalCommune[[#This Row],[Matricule]]="","",MAX($B$7:B364)+1)</f>
        <v/>
      </c>
      <c r="C365" s="8"/>
      <c r="D365" s="8"/>
      <c r="E365" s="20"/>
      <c r="F365" s="8"/>
      <c r="G365" s="8"/>
      <c r="H365" s="9"/>
      <c r="I365" s="9"/>
      <c r="J365" s="9"/>
      <c r="K365" s="714"/>
      <c r="L365" s="714"/>
      <c r="M365" s="9"/>
      <c r="N365" s="9"/>
      <c r="O365" s="9"/>
      <c r="P36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5" s="9"/>
      <c r="R365" s="9"/>
      <c r="S365" s="9"/>
      <c r="T365" s="37"/>
      <c r="U365" s="37"/>
      <c r="V365" s="37"/>
      <c r="W365" s="37"/>
      <c r="X365" s="37"/>
      <c r="Y365" s="37"/>
      <c r="Z36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5" s="37"/>
      <c r="AB365" s="713" t="str">
        <f>IF(COUNTA(SalCommune[[#This Row],[Nom]:[heures annuelles
selon contrat(s)]])=0,"",SalCommune[[#This Row],[Total global]]-ABS(SalCommune[[#This Row],[Dont non opposable]]))</f>
        <v/>
      </c>
      <c r="AC365" s="8"/>
      <c r="AD365" s="63"/>
      <c r="AE365" s="430"/>
      <c r="AF365" s="430"/>
      <c r="AG365" s="430"/>
      <c r="AH365" s="181"/>
      <c r="AI365" s="194">
        <f>IF(COUNTA(SalCommune[[#This Row],[N°]:[heures annuelles
selon contrat(s)]])=0,"",REVEX!$E$9)</f>
        <v>0</v>
      </c>
      <c r="AJ365" s="72"/>
    </row>
    <row r="366" spans="1:36" x14ac:dyDescent="0.25">
      <c r="A366" s="72"/>
      <c r="B366" s="725" t="str">
        <f>IF(SalCommune[[#This Row],[Matricule]]="","",MAX($B$7:B365)+1)</f>
        <v/>
      </c>
      <c r="C366" s="8"/>
      <c r="D366" s="8"/>
      <c r="E366" s="20"/>
      <c r="F366" s="8"/>
      <c r="G366" s="8"/>
      <c r="H366" s="9"/>
      <c r="I366" s="9"/>
      <c r="J366" s="9"/>
      <c r="K366" s="714"/>
      <c r="L366" s="714"/>
      <c r="M366" s="9"/>
      <c r="N366" s="9"/>
      <c r="O366" s="9"/>
      <c r="P36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6" s="9"/>
      <c r="R366" s="9"/>
      <c r="S366" s="9"/>
      <c r="T366" s="37"/>
      <c r="U366" s="37"/>
      <c r="V366" s="37"/>
      <c r="W366" s="37"/>
      <c r="X366" s="37"/>
      <c r="Y366" s="37"/>
      <c r="Z36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6" s="37"/>
      <c r="AB366" s="713" t="str">
        <f>IF(COUNTA(SalCommune[[#This Row],[Nom]:[heures annuelles
selon contrat(s)]])=0,"",SalCommune[[#This Row],[Total global]]-ABS(SalCommune[[#This Row],[Dont non opposable]]))</f>
        <v/>
      </c>
      <c r="AC366" s="8"/>
      <c r="AD366" s="63"/>
      <c r="AE366" s="430"/>
      <c r="AF366" s="430"/>
      <c r="AG366" s="430"/>
      <c r="AH366" s="181"/>
      <c r="AI366" s="194">
        <f>IF(COUNTA(SalCommune[[#This Row],[N°]:[heures annuelles
selon contrat(s)]])=0,"",REVEX!$E$9)</f>
        <v>0</v>
      </c>
      <c r="AJ366" s="72"/>
    </row>
    <row r="367" spans="1:36" x14ac:dyDescent="0.25">
      <c r="A367" s="72"/>
      <c r="B367" s="725" t="str">
        <f>IF(SalCommune[[#This Row],[Matricule]]="","",MAX($B$7:B366)+1)</f>
        <v/>
      </c>
      <c r="C367" s="8"/>
      <c r="D367" s="8"/>
      <c r="E367" s="20"/>
      <c r="F367" s="8"/>
      <c r="G367" s="8"/>
      <c r="H367" s="9"/>
      <c r="I367" s="9"/>
      <c r="J367" s="9"/>
      <c r="K367" s="714"/>
      <c r="L367" s="714"/>
      <c r="M367" s="9"/>
      <c r="N367" s="9"/>
      <c r="O367" s="9"/>
      <c r="P36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7" s="9"/>
      <c r="R367" s="9"/>
      <c r="S367" s="9"/>
      <c r="T367" s="37"/>
      <c r="U367" s="37"/>
      <c r="V367" s="37"/>
      <c r="W367" s="37"/>
      <c r="X367" s="37"/>
      <c r="Y367" s="37"/>
      <c r="Z36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7" s="37"/>
      <c r="AB367" s="713" t="str">
        <f>IF(COUNTA(SalCommune[[#This Row],[Nom]:[heures annuelles
selon contrat(s)]])=0,"",SalCommune[[#This Row],[Total global]]-ABS(SalCommune[[#This Row],[Dont non opposable]]))</f>
        <v/>
      </c>
      <c r="AC367" s="8"/>
      <c r="AD367" s="63"/>
      <c r="AE367" s="430"/>
      <c r="AF367" s="430"/>
      <c r="AG367" s="430"/>
      <c r="AH367" s="181"/>
      <c r="AI367" s="194">
        <f>IF(COUNTA(SalCommune[[#This Row],[N°]:[heures annuelles
selon contrat(s)]])=0,"",REVEX!$E$9)</f>
        <v>0</v>
      </c>
      <c r="AJ367" s="72"/>
    </row>
    <row r="368" spans="1:36" x14ac:dyDescent="0.25">
      <c r="A368" s="72"/>
      <c r="B368" s="725" t="str">
        <f>IF(SalCommune[[#This Row],[Matricule]]="","",MAX($B$7:B367)+1)</f>
        <v/>
      </c>
      <c r="C368" s="8"/>
      <c r="D368" s="8"/>
      <c r="E368" s="20"/>
      <c r="F368" s="8"/>
      <c r="G368" s="8"/>
      <c r="H368" s="9"/>
      <c r="I368" s="9"/>
      <c r="J368" s="9"/>
      <c r="K368" s="714"/>
      <c r="L368" s="714"/>
      <c r="M368" s="9"/>
      <c r="N368" s="9"/>
      <c r="O368" s="9"/>
      <c r="P36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8" s="9"/>
      <c r="R368" s="9"/>
      <c r="S368" s="9"/>
      <c r="T368" s="37"/>
      <c r="U368" s="37"/>
      <c r="V368" s="37"/>
      <c r="W368" s="37"/>
      <c r="X368" s="37"/>
      <c r="Y368" s="37"/>
      <c r="Z36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8" s="37"/>
      <c r="AB368" s="713" t="str">
        <f>IF(COUNTA(SalCommune[[#This Row],[Nom]:[heures annuelles
selon contrat(s)]])=0,"",SalCommune[[#This Row],[Total global]]-ABS(SalCommune[[#This Row],[Dont non opposable]]))</f>
        <v/>
      </c>
      <c r="AC368" s="8"/>
      <c r="AD368" s="63"/>
      <c r="AE368" s="430"/>
      <c r="AF368" s="430"/>
      <c r="AG368" s="430"/>
      <c r="AH368" s="181"/>
      <c r="AI368" s="194">
        <f>IF(COUNTA(SalCommune[[#This Row],[N°]:[heures annuelles
selon contrat(s)]])=0,"",REVEX!$E$9)</f>
        <v>0</v>
      </c>
      <c r="AJ368" s="72"/>
    </row>
    <row r="369" spans="1:36" x14ac:dyDescent="0.25">
      <c r="A369" s="72"/>
      <c r="B369" s="725" t="str">
        <f>IF(SalCommune[[#This Row],[Matricule]]="","",MAX($B$7:B368)+1)</f>
        <v/>
      </c>
      <c r="C369" s="8"/>
      <c r="D369" s="8"/>
      <c r="E369" s="20"/>
      <c r="F369" s="8"/>
      <c r="G369" s="8"/>
      <c r="H369" s="9"/>
      <c r="I369" s="9"/>
      <c r="J369" s="9"/>
      <c r="K369" s="714"/>
      <c r="L369" s="714"/>
      <c r="M369" s="9"/>
      <c r="N369" s="9"/>
      <c r="O369" s="9"/>
      <c r="P36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69" s="9"/>
      <c r="R369" s="9"/>
      <c r="S369" s="9"/>
      <c r="T369" s="37"/>
      <c r="U369" s="37"/>
      <c r="V369" s="37"/>
      <c r="W369" s="37"/>
      <c r="X369" s="37"/>
      <c r="Y369" s="37"/>
      <c r="Z36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69" s="37"/>
      <c r="AB369" s="713" t="str">
        <f>IF(COUNTA(SalCommune[[#This Row],[Nom]:[heures annuelles
selon contrat(s)]])=0,"",SalCommune[[#This Row],[Total global]]-ABS(SalCommune[[#This Row],[Dont non opposable]]))</f>
        <v/>
      </c>
      <c r="AC369" s="8"/>
      <c r="AD369" s="63"/>
      <c r="AE369" s="430"/>
      <c r="AF369" s="430"/>
      <c r="AG369" s="430"/>
      <c r="AH369" s="181"/>
      <c r="AI369" s="194">
        <f>IF(COUNTA(SalCommune[[#This Row],[N°]:[heures annuelles
selon contrat(s)]])=0,"",REVEX!$E$9)</f>
        <v>0</v>
      </c>
      <c r="AJ369" s="72"/>
    </row>
    <row r="370" spans="1:36" x14ac:dyDescent="0.25">
      <c r="A370" s="72"/>
      <c r="B370" s="725" t="str">
        <f>IF(SalCommune[[#This Row],[Matricule]]="","",MAX($B$7:B369)+1)</f>
        <v/>
      </c>
      <c r="C370" s="8"/>
      <c r="D370" s="8"/>
      <c r="E370" s="20"/>
      <c r="F370" s="8"/>
      <c r="G370" s="8"/>
      <c r="H370" s="9"/>
      <c r="I370" s="9"/>
      <c r="J370" s="9"/>
      <c r="K370" s="714"/>
      <c r="L370" s="714"/>
      <c r="M370" s="9"/>
      <c r="N370" s="9"/>
      <c r="O370" s="9"/>
      <c r="P37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0" s="9"/>
      <c r="R370" s="9"/>
      <c r="S370" s="9"/>
      <c r="T370" s="37"/>
      <c r="U370" s="37"/>
      <c r="V370" s="37"/>
      <c r="W370" s="37"/>
      <c r="X370" s="37"/>
      <c r="Y370" s="37"/>
      <c r="Z37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0" s="37"/>
      <c r="AB370" s="713" t="str">
        <f>IF(COUNTA(SalCommune[[#This Row],[Nom]:[heures annuelles
selon contrat(s)]])=0,"",SalCommune[[#This Row],[Total global]]-ABS(SalCommune[[#This Row],[Dont non opposable]]))</f>
        <v/>
      </c>
      <c r="AC370" s="8"/>
      <c r="AD370" s="63"/>
      <c r="AE370" s="430"/>
      <c r="AF370" s="430"/>
      <c r="AG370" s="430"/>
      <c r="AH370" s="181"/>
      <c r="AI370" s="194">
        <f>IF(COUNTA(SalCommune[[#This Row],[N°]:[heures annuelles
selon contrat(s)]])=0,"",REVEX!$E$9)</f>
        <v>0</v>
      </c>
      <c r="AJ370" s="72"/>
    </row>
    <row r="371" spans="1:36" x14ac:dyDescent="0.25">
      <c r="A371" s="72"/>
      <c r="B371" s="725" t="str">
        <f>IF(SalCommune[[#This Row],[Matricule]]="","",MAX($B$7:B370)+1)</f>
        <v/>
      </c>
      <c r="C371" s="8"/>
      <c r="D371" s="8"/>
      <c r="E371" s="20"/>
      <c r="F371" s="8"/>
      <c r="G371" s="8"/>
      <c r="H371" s="9"/>
      <c r="I371" s="9"/>
      <c r="J371" s="9"/>
      <c r="K371" s="714"/>
      <c r="L371" s="714"/>
      <c r="M371" s="9"/>
      <c r="N371" s="9"/>
      <c r="O371" s="9"/>
      <c r="P37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1" s="9"/>
      <c r="R371" s="9"/>
      <c r="S371" s="9"/>
      <c r="T371" s="37"/>
      <c r="U371" s="37"/>
      <c r="V371" s="37"/>
      <c r="W371" s="37"/>
      <c r="X371" s="37"/>
      <c r="Y371" s="37"/>
      <c r="Z37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1" s="37"/>
      <c r="AB371" s="713" t="str">
        <f>IF(COUNTA(SalCommune[[#This Row],[Nom]:[heures annuelles
selon contrat(s)]])=0,"",SalCommune[[#This Row],[Total global]]-ABS(SalCommune[[#This Row],[Dont non opposable]]))</f>
        <v/>
      </c>
      <c r="AC371" s="8"/>
      <c r="AD371" s="63"/>
      <c r="AE371" s="430"/>
      <c r="AF371" s="430"/>
      <c r="AG371" s="430"/>
      <c r="AH371" s="181"/>
      <c r="AI371" s="194">
        <f>IF(COUNTA(SalCommune[[#This Row],[N°]:[heures annuelles
selon contrat(s)]])=0,"",REVEX!$E$9)</f>
        <v>0</v>
      </c>
      <c r="AJ371" s="72"/>
    </row>
    <row r="372" spans="1:36" x14ac:dyDescent="0.25">
      <c r="A372" s="72"/>
      <c r="B372" s="725" t="str">
        <f>IF(SalCommune[[#This Row],[Matricule]]="","",MAX($B$7:B371)+1)</f>
        <v/>
      </c>
      <c r="C372" s="8"/>
      <c r="D372" s="8"/>
      <c r="E372" s="20"/>
      <c r="F372" s="8"/>
      <c r="G372" s="8"/>
      <c r="H372" s="9"/>
      <c r="I372" s="9"/>
      <c r="J372" s="9"/>
      <c r="K372" s="714"/>
      <c r="L372" s="714"/>
      <c r="M372" s="9"/>
      <c r="N372" s="9"/>
      <c r="O372" s="9"/>
      <c r="P37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2" s="9"/>
      <c r="R372" s="9"/>
      <c r="S372" s="9"/>
      <c r="T372" s="37"/>
      <c r="U372" s="37"/>
      <c r="V372" s="37"/>
      <c r="W372" s="37"/>
      <c r="X372" s="37"/>
      <c r="Y372" s="37"/>
      <c r="Z37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2" s="37"/>
      <c r="AB372" s="713" t="str">
        <f>IF(COUNTA(SalCommune[[#This Row],[Nom]:[heures annuelles
selon contrat(s)]])=0,"",SalCommune[[#This Row],[Total global]]-ABS(SalCommune[[#This Row],[Dont non opposable]]))</f>
        <v/>
      </c>
      <c r="AC372" s="8"/>
      <c r="AD372" s="63"/>
      <c r="AE372" s="430"/>
      <c r="AF372" s="430"/>
      <c r="AG372" s="430"/>
      <c r="AH372" s="181"/>
      <c r="AI372" s="194">
        <f>IF(COUNTA(SalCommune[[#This Row],[N°]:[heures annuelles
selon contrat(s)]])=0,"",REVEX!$E$9)</f>
        <v>0</v>
      </c>
      <c r="AJ372" s="72"/>
    </row>
    <row r="373" spans="1:36" x14ac:dyDescent="0.25">
      <c r="A373" s="72"/>
      <c r="B373" s="725" t="str">
        <f>IF(SalCommune[[#This Row],[Matricule]]="","",MAX($B$7:B372)+1)</f>
        <v/>
      </c>
      <c r="C373" s="8"/>
      <c r="D373" s="8"/>
      <c r="E373" s="20"/>
      <c r="F373" s="8"/>
      <c r="G373" s="8"/>
      <c r="H373" s="9"/>
      <c r="I373" s="9"/>
      <c r="J373" s="9"/>
      <c r="K373" s="714"/>
      <c r="L373" s="714"/>
      <c r="M373" s="9"/>
      <c r="N373" s="9"/>
      <c r="O373" s="9"/>
      <c r="P37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3" s="9"/>
      <c r="R373" s="9"/>
      <c r="S373" s="9"/>
      <c r="T373" s="37"/>
      <c r="U373" s="37"/>
      <c r="V373" s="37"/>
      <c r="W373" s="37"/>
      <c r="X373" s="37"/>
      <c r="Y373" s="37"/>
      <c r="Z37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3" s="37"/>
      <c r="AB373" s="713" t="str">
        <f>IF(COUNTA(SalCommune[[#This Row],[Nom]:[heures annuelles
selon contrat(s)]])=0,"",SalCommune[[#This Row],[Total global]]-ABS(SalCommune[[#This Row],[Dont non opposable]]))</f>
        <v/>
      </c>
      <c r="AC373" s="8"/>
      <c r="AD373" s="63"/>
      <c r="AE373" s="430"/>
      <c r="AF373" s="430"/>
      <c r="AG373" s="430"/>
      <c r="AH373" s="181"/>
      <c r="AI373" s="194">
        <f>IF(COUNTA(SalCommune[[#This Row],[N°]:[heures annuelles
selon contrat(s)]])=0,"",REVEX!$E$9)</f>
        <v>0</v>
      </c>
      <c r="AJ373" s="72"/>
    </row>
    <row r="374" spans="1:36" x14ac:dyDescent="0.25">
      <c r="A374" s="72"/>
      <c r="B374" s="725" t="str">
        <f>IF(SalCommune[[#This Row],[Matricule]]="","",MAX($B$7:B373)+1)</f>
        <v/>
      </c>
      <c r="C374" s="8"/>
      <c r="D374" s="8"/>
      <c r="E374" s="20"/>
      <c r="F374" s="8"/>
      <c r="G374" s="8"/>
      <c r="H374" s="9"/>
      <c r="I374" s="9"/>
      <c r="J374" s="9"/>
      <c r="K374" s="714"/>
      <c r="L374" s="714"/>
      <c r="M374" s="9"/>
      <c r="N374" s="9"/>
      <c r="O374" s="9"/>
      <c r="P37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4" s="9"/>
      <c r="R374" s="9"/>
      <c r="S374" s="9"/>
      <c r="T374" s="37"/>
      <c r="U374" s="37"/>
      <c r="V374" s="37"/>
      <c r="W374" s="37"/>
      <c r="X374" s="37"/>
      <c r="Y374" s="37"/>
      <c r="Z37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4" s="37"/>
      <c r="AB374" s="713" t="str">
        <f>IF(COUNTA(SalCommune[[#This Row],[Nom]:[heures annuelles
selon contrat(s)]])=0,"",SalCommune[[#This Row],[Total global]]-ABS(SalCommune[[#This Row],[Dont non opposable]]))</f>
        <v/>
      </c>
      <c r="AC374" s="8"/>
      <c r="AD374" s="63"/>
      <c r="AE374" s="430"/>
      <c r="AF374" s="430"/>
      <c r="AG374" s="430"/>
      <c r="AH374" s="181"/>
      <c r="AI374" s="194">
        <f>IF(COUNTA(SalCommune[[#This Row],[N°]:[heures annuelles
selon contrat(s)]])=0,"",REVEX!$E$9)</f>
        <v>0</v>
      </c>
      <c r="AJ374" s="72"/>
    </row>
    <row r="375" spans="1:36" x14ac:dyDescent="0.25">
      <c r="A375" s="72"/>
      <c r="B375" s="725" t="str">
        <f>IF(SalCommune[[#This Row],[Matricule]]="","",MAX($B$7:B374)+1)</f>
        <v/>
      </c>
      <c r="C375" s="8"/>
      <c r="D375" s="8"/>
      <c r="E375" s="20"/>
      <c r="F375" s="8"/>
      <c r="G375" s="8"/>
      <c r="H375" s="9"/>
      <c r="I375" s="9"/>
      <c r="J375" s="9"/>
      <c r="K375" s="714"/>
      <c r="L375" s="714"/>
      <c r="M375" s="9"/>
      <c r="N375" s="9"/>
      <c r="O375" s="9"/>
      <c r="P37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5" s="9"/>
      <c r="R375" s="9"/>
      <c r="S375" s="9"/>
      <c r="T375" s="37"/>
      <c r="U375" s="37"/>
      <c r="V375" s="37"/>
      <c r="W375" s="37"/>
      <c r="X375" s="37"/>
      <c r="Y375" s="37"/>
      <c r="Z37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5" s="37"/>
      <c r="AB375" s="713" t="str">
        <f>IF(COUNTA(SalCommune[[#This Row],[Nom]:[heures annuelles
selon contrat(s)]])=0,"",SalCommune[[#This Row],[Total global]]-ABS(SalCommune[[#This Row],[Dont non opposable]]))</f>
        <v/>
      </c>
      <c r="AC375" s="8"/>
      <c r="AD375" s="63"/>
      <c r="AE375" s="430"/>
      <c r="AF375" s="430"/>
      <c r="AG375" s="430"/>
      <c r="AH375" s="181"/>
      <c r="AI375" s="194">
        <f>IF(COUNTA(SalCommune[[#This Row],[N°]:[heures annuelles
selon contrat(s)]])=0,"",REVEX!$E$9)</f>
        <v>0</v>
      </c>
      <c r="AJ375" s="72"/>
    </row>
    <row r="376" spans="1:36" x14ac:dyDescent="0.25">
      <c r="A376" s="72"/>
      <c r="B376" s="725" t="str">
        <f>IF(SalCommune[[#This Row],[Matricule]]="","",MAX($B$7:B375)+1)</f>
        <v/>
      </c>
      <c r="C376" s="8"/>
      <c r="D376" s="8"/>
      <c r="E376" s="20"/>
      <c r="F376" s="8"/>
      <c r="G376" s="8"/>
      <c r="H376" s="9"/>
      <c r="I376" s="9"/>
      <c r="J376" s="9"/>
      <c r="K376" s="714"/>
      <c r="L376" s="714"/>
      <c r="M376" s="9"/>
      <c r="N376" s="9"/>
      <c r="O376" s="9"/>
      <c r="P37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6" s="9"/>
      <c r="R376" s="9"/>
      <c r="S376" s="9"/>
      <c r="T376" s="37"/>
      <c r="U376" s="37"/>
      <c r="V376" s="37"/>
      <c r="W376" s="37"/>
      <c r="X376" s="37"/>
      <c r="Y376" s="37"/>
      <c r="Z37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6" s="37"/>
      <c r="AB376" s="713" t="str">
        <f>IF(COUNTA(SalCommune[[#This Row],[Nom]:[heures annuelles
selon contrat(s)]])=0,"",SalCommune[[#This Row],[Total global]]-ABS(SalCommune[[#This Row],[Dont non opposable]]))</f>
        <v/>
      </c>
      <c r="AC376" s="8"/>
      <c r="AD376" s="63"/>
      <c r="AE376" s="430"/>
      <c r="AF376" s="430"/>
      <c r="AG376" s="430"/>
      <c r="AH376" s="181"/>
      <c r="AI376" s="194">
        <f>IF(COUNTA(SalCommune[[#This Row],[N°]:[heures annuelles
selon contrat(s)]])=0,"",REVEX!$E$9)</f>
        <v>0</v>
      </c>
      <c r="AJ376" s="72"/>
    </row>
    <row r="377" spans="1:36" x14ac:dyDescent="0.25">
      <c r="A377" s="72"/>
      <c r="B377" s="725" t="str">
        <f>IF(SalCommune[[#This Row],[Matricule]]="","",MAX($B$7:B376)+1)</f>
        <v/>
      </c>
      <c r="C377" s="8"/>
      <c r="D377" s="8"/>
      <c r="E377" s="20"/>
      <c r="F377" s="8"/>
      <c r="G377" s="8"/>
      <c r="H377" s="9"/>
      <c r="I377" s="9"/>
      <c r="J377" s="9"/>
      <c r="K377" s="714"/>
      <c r="L377" s="714"/>
      <c r="M377" s="9"/>
      <c r="N377" s="9"/>
      <c r="O377" s="9"/>
      <c r="P37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7" s="9"/>
      <c r="R377" s="9"/>
      <c r="S377" s="9"/>
      <c r="T377" s="37"/>
      <c r="U377" s="37"/>
      <c r="V377" s="37"/>
      <c r="W377" s="37"/>
      <c r="X377" s="37"/>
      <c r="Y377" s="37"/>
      <c r="Z37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7" s="37"/>
      <c r="AB377" s="713" t="str">
        <f>IF(COUNTA(SalCommune[[#This Row],[Nom]:[heures annuelles
selon contrat(s)]])=0,"",SalCommune[[#This Row],[Total global]]-ABS(SalCommune[[#This Row],[Dont non opposable]]))</f>
        <v/>
      </c>
      <c r="AC377" s="8"/>
      <c r="AD377" s="63"/>
      <c r="AE377" s="430"/>
      <c r="AF377" s="430"/>
      <c r="AG377" s="430"/>
      <c r="AH377" s="181"/>
      <c r="AI377" s="194">
        <f>IF(COUNTA(SalCommune[[#This Row],[N°]:[heures annuelles
selon contrat(s)]])=0,"",REVEX!$E$9)</f>
        <v>0</v>
      </c>
      <c r="AJ377" s="72"/>
    </row>
    <row r="378" spans="1:36" x14ac:dyDescent="0.25">
      <c r="A378" s="72"/>
      <c r="B378" s="725" t="str">
        <f>IF(SalCommune[[#This Row],[Matricule]]="","",MAX($B$7:B377)+1)</f>
        <v/>
      </c>
      <c r="C378" s="8"/>
      <c r="D378" s="8"/>
      <c r="E378" s="20"/>
      <c r="F378" s="8"/>
      <c r="G378" s="8"/>
      <c r="H378" s="9"/>
      <c r="I378" s="9"/>
      <c r="J378" s="9"/>
      <c r="K378" s="714"/>
      <c r="L378" s="714"/>
      <c r="M378" s="9"/>
      <c r="N378" s="9"/>
      <c r="O378" s="9"/>
      <c r="P37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8" s="9"/>
      <c r="R378" s="9"/>
      <c r="S378" s="9"/>
      <c r="T378" s="37"/>
      <c r="U378" s="37"/>
      <c r="V378" s="37"/>
      <c r="W378" s="37"/>
      <c r="X378" s="37"/>
      <c r="Y378" s="37"/>
      <c r="Z37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8" s="37"/>
      <c r="AB378" s="713" t="str">
        <f>IF(COUNTA(SalCommune[[#This Row],[Nom]:[heures annuelles
selon contrat(s)]])=0,"",SalCommune[[#This Row],[Total global]]-ABS(SalCommune[[#This Row],[Dont non opposable]]))</f>
        <v/>
      </c>
      <c r="AC378" s="8"/>
      <c r="AD378" s="63"/>
      <c r="AE378" s="430"/>
      <c r="AF378" s="430"/>
      <c r="AG378" s="430"/>
      <c r="AH378" s="181"/>
      <c r="AI378" s="194">
        <f>IF(COUNTA(SalCommune[[#This Row],[N°]:[heures annuelles
selon contrat(s)]])=0,"",REVEX!$E$9)</f>
        <v>0</v>
      </c>
      <c r="AJ378" s="72"/>
    </row>
    <row r="379" spans="1:36" x14ac:dyDescent="0.25">
      <c r="A379" s="72"/>
      <c r="B379" s="725" t="str">
        <f>IF(SalCommune[[#This Row],[Matricule]]="","",MAX($B$7:B378)+1)</f>
        <v/>
      </c>
      <c r="C379" s="8"/>
      <c r="D379" s="8"/>
      <c r="E379" s="20"/>
      <c r="F379" s="8"/>
      <c r="G379" s="8"/>
      <c r="H379" s="9"/>
      <c r="I379" s="9"/>
      <c r="J379" s="9"/>
      <c r="K379" s="714"/>
      <c r="L379" s="714"/>
      <c r="M379" s="9"/>
      <c r="N379" s="9"/>
      <c r="O379" s="9"/>
      <c r="P37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79" s="9"/>
      <c r="R379" s="9"/>
      <c r="S379" s="9"/>
      <c r="T379" s="37"/>
      <c r="U379" s="37"/>
      <c r="V379" s="37"/>
      <c r="W379" s="37"/>
      <c r="X379" s="37"/>
      <c r="Y379" s="37"/>
      <c r="Z37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79" s="37"/>
      <c r="AB379" s="713" t="str">
        <f>IF(COUNTA(SalCommune[[#This Row],[Nom]:[heures annuelles
selon contrat(s)]])=0,"",SalCommune[[#This Row],[Total global]]-ABS(SalCommune[[#This Row],[Dont non opposable]]))</f>
        <v/>
      </c>
      <c r="AC379" s="8"/>
      <c r="AD379" s="63"/>
      <c r="AE379" s="430"/>
      <c r="AF379" s="430"/>
      <c r="AG379" s="430"/>
      <c r="AH379" s="181"/>
      <c r="AI379" s="194">
        <f>IF(COUNTA(SalCommune[[#This Row],[N°]:[heures annuelles
selon contrat(s)]])=0,"",REVEX!$E$9)</f>
        <v>0</v>
      </c>
      <c r="AJ379" s="72"/>
    </row>
    <row r="380" spans="1:36" x14ac:dyDescent="0.25">
      <c r="A380" s="72"/>
      <c r="B380" s="725" t="str">
        <f>IF(SalCommune[[#This Row],[Matricule]]="","",MAX($B$7:B379)+1)</f>
        <v/>
      </c>
      <c r="C380" s="8"/>
      <c r="D380" s="8"/>
      <c r="E380" s="20"/>
      <c r="F380" s="8"/>
      <c r="G380" s="8"/>
      <c r="H380" s="9"/>
      <c r="I380" s="9"/>
      <c r="J380" s="9"/>
      <c r="K380" s="714"/>
      <c r="L380" s="714"/>
      <c r="M380" s="9"/>
      <c r="N380" s="9"/>
      <c r="O380" s="9"/>
      <c r="P38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0" s="9"/>
      <c r="R380" s="9"/>
      <c r="S380" s="9"/>
      <c r="T380" s="37"/>
      <c r="U380" s="37"/>
      <c r="V380" s="37"/>
      <c r="W380" s="37"/>
      <c r="X380" s="37"/>
      <c r="Y380" s="37"/>
      <c r="Z38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0" s="37"/>
      <c r="AB380" s="713" t="str">
        <f>IF(COUNTA(SalCommune[[#This Row],[Nom]:[heures annuelles
selon contrat(s)]])=0,"",SalCommune[[#This Row],[Total global]]-ABS(SalCommune[[#This Row],[Dont non opposable]]))</f>
        <v/>
      </c>
      <c r="AC380" s="8"/>
      <c r="AD380" s="63"/>
      <c r="AE380" s="430"/>
      <c r="AF380" s="430"/>
      <c r="AG380" s="430"/>
      <c r="AH380" s="181"/>
      <c r="AI380" s="194">
        <f>IF(COUNTA(SalCommune[[#This Row],[N°]:[heures annuelles
selon contrat(s)]])=0,"",REVEX!$E$9)</f>
        <v>0</v>
      </c>
      <c r="AJ380" s="72"/>
    </row>
    <row r="381" spans="1:36" x14ac:dyDescent="0.25">
      <c r="A381" s="72"/>
      <c r="B381" s="725" t="str">
        <f>IF(SalCommune[[#This Row],[Matricule]]="","",MAX($B$7:B380)+1)</f>
        <v/>
      </c>
      <c r="C381" s="8"/>
      <c r="D381" s="8"/>
      <c r="E381" s="20"/>
      <c r="F381" s="8"/>
      <c r="G381" s="8"/>
      <c r="H381" s="9"/>
      <c r="I381" s="9"/>
      <c r="J381" s="9"/>
      <c r="K381" s="714"/>
      <c r="L381" s="714"/>
      <c r="M381" s="9"/>
      <c r="N381" s="9"/>
      <c r="O381" s="9"/>
      <c r="P38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1" s="9"/>
      <c r="R381" s="9"/>
      <c r="S381" s="9"/>
      <c r="T381" s="37"/>
      <c r="U381" s="37"/>
      <c r="V381" s="37"/>
      <c r="W381" s="37"/>
      <c r="X381" s="37"/>
      <c r="Y381" s="37"/>
      <c r="Z38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1" s="37"/>
      <c r="AB381" s="713" t="str">
        <f>IF(COUNTA(SalCommune[[#This Row],[Nom]:[heures annuelles
selon contrat(s)]])=0,"",SalCommune[[#This Row],[Total global]]-ABS(SalCommune[[#This Row],[Dont non opposable]]))</f>
        <v/>
      </c>
      <c r="AC381" s="8"/>
      <c r="AD381" s="63"/>
      <c r="AE381" s="430"/>
      <c r="AF381" s="430"/>
      <c r="AG381" s="430"/>
      <c r="AH381" s="181"/>
      <c r="AI381" s="194">
        <f>IF(COUNTA(SalCommune[[#This Row],[N°]:[heures annuelles
selon contrat(s)]])=0,"",REVEX!$E$9)</f>
        <v>0</v>
      </c>
      <c r="AJ381" s="72"/>
    </row>
    <row r="382" spans="1:36" x14ac:dyDescent="0.25">
      <c r="A382" s="72"/>
      <c r="B382" s="725" t="str">
        <f>IF(SalCommune[[#This Row],[Matricule]]="","",MAX($B$7:B381)+1)</f>
        <v/>
      </c>
      <c r="C382" s="8"/>
      <c r="D382" s="8"/>
      <c r="E382" s="20"/>
      <c r="F382" s="8"/>
      <c r="G382" s="8"/>
      <c r="H382" s="9"/>
      <c r="I382" s="9"/>
      <c r="J382" s="9"/>
      <c r="K382" s="714"/>
      <c r="L382" s="714"/>
      <c r="M382" s="9"/>
      <c r="N382" s="9"/>
      <c r="O382" s="9"/>
      <c r="P38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2" s="9"/>
      <c r="R382" s="9"/>
      <c r="S382" s="9"/>
      <c r="T382" s="37"/>
      <c r="U382" s="37"/>
      <c r="V382" s="37"/>
      <c r="W382" s="37"/>
      <c r="X382" s="37"/>
      <c r="Y382" s="37"/>
      <c r="Z38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2" s="37"/>
      <c r="AB382" s="713" t="str">
        <f>IF(COUNTA(SalCommune[[#This Row],[Nom]:[heures annuelles
selon contrat(s)]])=0,"",SalCommune[[#This Row],[Total global]]-ABS(SalCommune[[#This Row],[Dont non opposable]]))</f>
        <v/>
      </c>
      <c r="AC382" s="8"/>
      <c r="AD382" s="63"/>
      <c r="AE382" s="430"/>
      <c r="AF382" s="430"/>
      <c r="AG382" s="430"/>
      <c r="AH382" s="181"/>
      <c r="AI382" s="194">
        <f>IF(COUNTA(SalCommune[[#This Row],[N°]:[heures annuelles
selon contrat(s)]])=0,"",REVEX!$E$9)</f>
        <v>0</v>
      </c>
      <c r="AJ382" s="72"/>
    </row>
    <row r="383" spans="1:36" x14ac:dyDescent="0.25">
      <c r="A383" s="72"/>
      <c r="B383" s="725" t="str">
        <f>IF(SalCommune[[#This Row],[Matricule]]="","",MAX($B$7:B382)+1)</f>
        <v/>
      </c>
      <c r="C383" s="8"/>
      <c r="D383" s="8"/>
      <c r="E383" s="20"/>
      <c r="F383" s="8"/>
      <c r="G383" s="8"/>
      <c r="H383" s="9"/>
      <c r="I383" s="9"/>
      <c r="J383" s="9"/>
      <c r="K383" s="714"/>
      <c r="L383" s="714"/>
      <c r="M383" s="9"/>
      <c r="N383" s="9"/>
      <c r="O383" s="9"/>
      <c r="P38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3" s="9"/>
      <c r="R383" s="9"/>
      <c r="S383" s="9"/>
      <c r="T383" s="37"/>
      <c r="U383" s="37"/>
      <c r="V383" s="37"/>
      <c r="W383" s="37"/>
      <c r="X383" s="37"/>
      <c r="Y383" s="37"/>
      <c r="Z38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3" s="37"/>
      <c r="AB383" s="713" t="str">
        <f>IF(COUNTA(SalCommune[[#This Row],[Nom]:[heures annuelles
selon contrat(s)]])=0,"",SalCommune[[#This Row],[Total global]]-ABS(SalCommune[[#This Row],[Dont non opposable]]))</f>
        <v/>
      </c>
      <c r="AC383" s="8"/>
      <c r="AD383" s="63"/>
      <c r="AE383" s="430"/>
      <c r="AF383" s="430"/>
      <c r="AG383" s="430"/>
      <c r="AH383" s="181"/>
      <c r="AI383" s="194">
        <f>IF(COUNTA(SalCommune[[#This Row],[N°]:[heures annuelles
selon contrat(s)]])=0,"",REVEX!$E$9)</f>
        <v>0</v>
      </c>
      <c r="AJ383" s="72"/>
    </row>
    <row r="384" spans="1:36" x14ac:dyDescent="0.25">
      <c r="A384" s="72"/>
      <c r="B384" s="725" t="str">
        <f>IF(SalCommune[[#This Row],[Matricule]]="","",MAX($B$7:B383)+1)</f>
        <v/>
      </c>
      <c r="C384" s="8"/>
      <c r="D384" s="8"/>
      <c r="E384" s="20"/>
      <c r="F384" s="8"/>
      <c r="G384" s="8"/>
      <c r="H384" s="9"/>
      <c r="I384" s="9"/>
      <c r="J384" s="9"/>
      <c r="K384" s="714"/>
      <c r="L384" s="714"/>
      <c r="M384" s="9"/>
      <c r="N384" s="9"/>
      <c r="O384" s="9"/>
      <c r="P38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4" s="9"/>
      <c r="R384" s="9"/>
      <c r="S384" s="9"/>
      <c r="T384" s="37"/>
      <c r="U384" s="37"/>
      <c r="V384" s="37"/>
      <c r="W384" s="37"/>
      <c r="X384" s="37"/>
      <c r="Y384" s="37"/>
      <c r="Z38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4" s="37"/>
      <c r="AB384" s="713" t="str">
        <f>IF(COUNTA(SalCommune[[#This Row],[Nom]:[heures annuelles
selon contrat(s)]])=0,"",SalCommune[[#This Row],[Total global]]-ABS(SalCommune[[#This Row],[Dont non opposable]]))</f>
        <v/>
      </c>
      <c r="AC384" s="8"/>
      <c r="AD384" s="63"/>
      <c r="AE384" s="430"/>
      <c r="AF384" s="430"/>
      <c r="AG384" s="430"/>
      <c r="AH384" s="181"/>
      <c r="AI384" s="194">
        <f>IF(COUNTA(SalCommune[[#This Row],[N°]:[heures annuelles
selon contrat(s)]])=0,"",REVEX!$E$9)</f>
        <v>0</v>
      </c>
      <c r="AJ384" s="72"/>
    </row>
    <row r="385" spans="1:36" x14ac:dyDescent="0.25">
      <c r="A385" s="72"/>
      <c r="B385" s="725" t="str">
        <f>IF(SalCommune[[#This Row],[Matricule]]="","",MAX($B$7:B384)+1)</f>
        <v/>
      </c>
      <c r="C385" s="8"/>
      <c r="D385" s="8"/>
      <c r="E385" s="20"/>
      <c r="F385" s="8"/>
      <c r="G385" s="8"/>
      <c r="H385" s="9"/>
      <c r="I385" s="9"/>
      <c r="J385" s="9"/>
      <c r="K385" s="714"/>
      <c r="L385" s="714"/>
      <c r="M385" s="9"/>
      <c r="N385" s="9"/>
      <c r="O385" s="9"/>
      <c r="P38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5" s="9"/>
      <c r="R385" s="9"/>
      <c r="S385" s="9"/>
      <c r="T385" s="37"/>
      <c r="U385" s="37"/>
      <c r="V385" s="37"/>
      <c r="W385" s="37"/>
      <c r="X385" s="37"/>
      <c r="Y385" s="37"/>
      <c r="Z38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5" s="37"/>
      <c r="AB385" s="713" t="str">
        <f>IF(COUNTA(SalCommune[[#This Row],[Nom]:[heures annuelles
selon contrat(s)]])=0,"",SalCommune[[#This Row],[Total global]]-ABS(SalCommune[[#This Row],[Dont non opposable]]))</f>
        <v/>
      </c>
      <c r="AC385" s="8"/>
      <c r="AD385" s="63"/>
      <c r="AE385" s="430"/>
      <c r="AF385" s="430"/>
      <c r="AG385" s="430"/>
      <c r="AH385" s="181"/>
      <c r="AI385" s="194">
        <f>IF(COUNTA(SalCommune[[#This Row],[N°]:[heures annuelles
selon contrat(s)]])=0,"",REVEX!$E$9)</f>
        <v>0</v>
      </c>
      <c r="AJ385" s="72"/>
    </row>
    <row r="386" spans="1:36" x14ac:dyDescent="0.25">
      <c r="A386" s="72"/>
      <c r="B386" s="725" t="str">
        <f>IF(SalCommune[[#This Row],[Matricule]]="","",MAX($B$7:B385)+1)</f>
        <v/>
      </c>
      <c r="C386" s="8"/>
      <c r="D386" s="8"/>
      <c r="E386" s="20"/>
      <c r="F386" s="8"/>
      <c r="G386" s="8"/>
      <c r="H386" s="9"/>
      <c r="I386" s="9"/>
      <c r="J386" s="9"/>
      <c r="K386" s="714"/>
      <c r="L386" s="714"/>
      <c r="M386" s="9"/>
      <c r="N386" s="9"/>
      <c r="O386" s="9"/>
      <c r="P38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6" s="9"/>
      <c r="R386" s="9"/>
      <c r="S386" s="9"/>
      <c r="T386" s="37"/>
      <c r="U386" s="37"/>
      <c r="V386" s="37"/>
      <c r="W386" s="37"/>
      <c r="X386" s="37"/>
      <c r="Y386" s="37"/>
      <c r="Z38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6" s="37"/>
      <c r="AB386" s="713" t="str">
        <f>IF(COUNTA(SalCommune[[#This Row],[Nom]:[heures annuelles
selon contrat(s)]])=0,"",SalCommune[[#This Row],[Total global]]-ABS(SalCommune[[#This Row],[Dont non opposable]]))</f>
        <v/>
      </c>
      <c r="AC386" s="8"/>
      <c r="AD386" s="63"/>
      <c r="AE386" s="430"/>
      <c r="AF386" s="430"/>
      <c r="AG386" s="430"/>
      <c r="AH386" s="181"/>
      <c r="AI386" s="194">
        <f>IF(COUNTA(SalCommune[[#This Row],[N°]:[heures annuelles
selon contrat(s)]])=0,"",REVEX!$E$9)</f>
        <v>0</v>
      </c>
      <c r="AJ386" s="72"/>
    </row>
    <row r="387" spans="1:36" x14ac:dyDescent="0.25">
      <c r="A387" s="72"/>
      <c r="B387" s="725" t="str">
        <f>IF(SalCommune[[#This Row],[Matricule]]="","",MAX($B$7:B386)+1)</f>
        <v/>
      </c>
      <c r="C387" s="8"/>
      <c r="D387" s="8"/>
      <c r="E387" s="20"/>
      <c r="F387" s="8"/>
      <c r="G387" s="8"/>
      <c r="H387" s="9"/>
      <c r="I387" s="9"/>
      <c r="J387" s="9"/>
      <c r="K387" s="714"/>
      <c r="L387" s="714"/>
      <c r="M387" s="9"/>
      <c r="N387" s="9"/>
      <c r="O387" s="9"/>
      <c r="P38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7" s="9"/>
      <c r="R387" s="9"/>
      <c r="S387" s="9"/>
      <c r="T387" s="37"/>
      <c r="U387" s="37"/>
      <c r="V387" s="37"/>
      <c r="W387" s="37"/>
      <c r="X387" s="37"/>
      <c r="Y387" s="37"/>
      <c r="Z38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7" s="37"/>
      <c r="AB387" s="713" t="str">
        <f>IF(COUNTA(SalCommune[[#This Row],[Nom]:[heures annuelles
selon contrat(s)]])=0,"",SalCommune[[#This Row],[Total global]]-ABS(SalCommune[[#This Row],[Dont non opposable]]))</f>
        <v/>
      </c>
      <c r="AC387" s="8"/>
      <c r="AD387" s="63"/>
      <c r="AE387" s="430"/>
      <c r="AF387" s="430"/>
      <c r="AG387" s="430"/>
      <c r="AH387" s="181"/>
      <c r="AI387" s="194">
        <f>IF(COUNTA(SalCommune[[#This Row],[N°]:[heures annuelles
selon contrat(s)]])=0,"",REVEX!$E$9)</f>
        <v>0</v>
      </c>
      <c r="AJ387" s="72"/>
    </row>
    <row r="388" spans="1:36" x14ac:dyDescent="0.25">
      <c r="A388" s="72"/>
      <c r="B388" s="725" t="str">
        <f>IF(SalCommune[[#This Row],[Matricule]]="","",MAX($B$7:B387)+1)</f>
        <v/>
      </c>
      <c r="C388" s="8"/>
      <c r="D388" s="8"/>
      <c r="E388" s="20"/>
      <c r="F388" s="8"/>
      <c r="G388" s="8"/>
      <c r="H388" s="9"/>
      <c r="I388" s="9"/>
      <c r="J388" s="9"/>
      <c r="K388" s="714"/>
      <c r="L388" s="714"/>
      <c r="M388" s="9"/>
      <c r="N388" s="9"/>
      <c r="O388" s="9"/>
      <c r="P38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8" s="9"/>
      <c r="R388" s="9"/>
      <c r="S388" s="9"/>
      <c r="T388" s="37"/>
      <c r="U388" s="37"/>
      <c r="V388" s="37"/>
      <c r="W388" s="37"/>
      <c r="X388" s="37"/>
      <c r="Y388" s="37"/>
      <c r="Z38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8" s="37"/>
      <c r="AB388" s="713" t="str">
        <f>IF(COUNTA(SalCommune[[#This Row],[Nom]:[heures annuelles
selon contrat(s)]])=0,"",SalCommune[[#This Row],[Total global]]-ABS(SalCommune[[#This Row],[Dont non opposable]]))</f>
        <v/>
      </c>
      <c r="AC388" s="8"/>
      <c r="AD388" s="63"/>
      <c r="AE388" s="430"/>
      <c r="AF388" s="430"/>
      <c r="AG388" s="430"/>
      <c r="AH388" s="181"/>
      <c r="AI388" s="194">
        <f>IF(COUNTA(SalCommune[[#This Row],[N°]:[heures annuelles
selon contrat(s)]])=0,"",REVEX!$E$9)</f>
        <v>0</v>
      </c>
      <c r="AJ388" s="72"/>
    </row>
    <row r="389" spans="1:36" x14ac:dyDescent="0.25">
      <c r="A389" s="72"/>
      <c r="B389" s="725" t="str">
        <f>IF(SalCommune[[#This Row],[Matricule]]="","",MAX($B$7:B388)+1)</f>
        <v/>
      </c>
      <c r="C389" s="8"/>
      <c r="D389" s="8"/>
      <c r="E389" s="20"/>
      <c r="F389" s="8"/>
      <c r="G389" s="8"/>
      <c r="H389" s="9"/>
      <c r="I389" s="9"/>
      <c r="J389" s="9"/>
      <c r="K389" s="714"/>
      <c r="L389" s="714"/>
      <c r="M389" s="9"/>
      <c r="N389" s="9"/>
      <c r="O389" s="9"/>
      <c r="P38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89" s="9"/>
      <c r="R389" s="9"/>
      <c r="S389" s="9"/>
      <c r="T389" s="37"/>
      <c r="U389" s="37"/>
      <c r="V389" s="37"/>
      <c r="W389" s="37"/>
      <c r="X389" s="37"/>
      <c r="Y389" s="37"/>
      <c r="Z38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89" s="37"/>
      <c r="AB389" s="713" t="str">
        <f>IF(COUNTA(SalCommune[[#This Row],[Nom]:[heures annuelles
selon contrat(s)]])=0,"",SalCommune[[#This Row],[Total global]]-ABS(SalCommune[[#This Row],[Dont non opposable]]))</f>
        <v/>
      </c>
      <c r="AC389" s="8"/>
      <c r="AD389" s="63"/>
      <c r="AE389" s="430"/>
      <c r="AF389" s="430"/>
      <c r="AG389" s="430"/>
      <c r="AH389" s="181"/>
      <c r="AI389" s="194">
        <f>IF(COUNTA(SalCommune[[#This Row],[N°]:[heures annuelles
selon contrat(s)]])=0,"",REVEX!$E$9)</f>
        <v>0</v>
      </c>
      <c r="AJ389" s="72"/>
    </row>
    <row r="390" spans="1:36" x14ac:dyDescent="0.25">
      <c r="A390" s="72"/>
      <c r="B390" s="725" t="str">
        <f>IF(SalCommune[[#This Row],[Matricule]]="","",MAX($B$7:B389)+1)</f>
        <v/>
      </c>
      <c r="C390" s="8"/>
      <c r="D390" s="8"/>
      <c r="E390" s="20"/>
      <c r="F390" s="8"/>
      <c r="G390" s="8"/>
      <c r="H390" s="9"/>
      <c r="I390" s="9"/>
      <c r="J390" s="9"/>
      <c r="K390" s="714"/>
      <c r="L390" s="714"/>
      <c r="M390" s="9"/>
      <c r="N390" s="9"/>
      <c r="O390" s="9"/>
      <c r="P39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0" s="9"/>
      <c r="R390" s="9"/>
      <c r="S390" s="9"/>
      <c r="T390" s="37"/>
      <c r="U390" s="37"/>
      <c r="V390" s="37"/>
      <c r="W390" s="37"/>
      <c r="X390" s="37"/>
      <c r="Y390" s="37"/>
      <c r="Z39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0" s="37"/>
      <c r="AB390" s="713" t="str">
        <f>IF(COUNTA(SalCommune[[#This Row],[Nom]:[heures annuelles
selon contrat(s)]])=0,"",SalCommune[[#This Row],[Total global]]-ABS(SalCommune[[#This Row],[Dont non opposable]]))</f>
        <v/>
      </c>
      <c r="AC390" s="8"/>
      <c r="AD390" s="63"/>
      <c r="AE390" s="430"/>
      <c r="AF390" s="430"/>
      <c r="AG390" s="430"/>
      <c r="AH390" s="181"/>
      <c r="AI390" s="194">
        <f>IF(COUNTA(SalCommune[[#This Row],[N°]:[heures annuelles
selon contrat(s)]])=0,"",REVEX!$E$9)</f>
        <v>0</v>
      </c>
      <c r="AJ390" s="72"/>
    </row>
    <row r="391" spans="1:36" x14ac:dyDescent="0.25">
      <c r="A391" s="72"/>
      <c r="B391" s="725" t="str">
        <f>IF(SalCommune[[#This Row],[Matricule]]="","",MAX($B$7:B390)+1)</f>
        <v/>
      </c>
      <c r="C391" s="8"/>
      <c r="D391" s="8"/>
      <c r="E391" s="20"/>
      <c r="F391" s="8"/>
      <c r="G391" s="8"/>
      <c r="H391" s="9"/>
      <c r="I391" s="9"/>
      <c r="J391" s="9"/>
      <c r="K391" s="714"/>
      <c r="L391" s="714"/>
      <c r="M391" s="9"/>
      <c r="N391" s="9"/>
      <c r="O391" s="9"/>
      <c r="P39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1" s="9"/>
      <c r="R391" s="9"/>
      <c r="S391" s="9"/>
      <c r="T391" s="37"/>
      <c r="U391" s="37"/>
      <c r="V391" s="37"/>
      <c r="W391" s="37"/>
      <c r="X391" s="37"/>
      <c r="Y391" s="37"/>
      <c r="Z39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1" s="37"/>
      <c r="AB391" s="713" t="str">
        <f>IF(COUNTA(SalCommune[[#This Row],[Nom]:[heures annuelles
selon contrat(s)]])=0,"",SalCommune[[#This Row],[Total global]]-ABS(SalCommune[[#This Row],[Dont non opposable]]))</f>
        <v/>
      </c>
      <c r="AC391" s="8"/>
      <c r="AD391" s="63"/>
      <c r="AE391" s="430"/>
      <c r="AF391" s="430"/>
      <c r="AG391" s="430"/>
      <c r="AH391" s="181"/>
      <c r="AI391" s="194">
        <f>IF(COUNTA(SalCommune[[#This Row],[N°]:[heures annuelles
selon contrat(s)]])=0,"",REVEX!$E$9)</f>
        <v>0</v>
      </c>
      <c r="AJ391" s="72"/>
    </row>
    <row r="392" spans="1:36" x14ac:dyDescent="0.25">
      <c r="A392" s="72"/>
      <c r="B392" s="725" t="str">
        <f>IF(SalCommune[[#This Row],[Matricule]]="","",MAX($B$7:B391)+1)</f>
        <v/>
      </c>
      <c r="C392" s="8"/>
      <c r="D392" s="8"/>
      <c r="E392" s="20"/>
      <c r="F392" s="8"/>
      <c r="G392" s="8"/>
      <c r="H392" s="9"/>
      <c r="I392" s="9"/>
      <c r="J392" s="9"/>
      <c r="K392" s="714"/>
      <c r="L392" s="714"/>
      <c r="M392" s="9"/>
      <c r="N392" s="9"/>
      <c r="O392" s="9"/>
      <c r="P39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2" s="9"/>
      <c r="R392" s="9"/>
      <c r="S392" s="9"/>
      <c r="T392" s="37"/>
      <c r="U392" s="37"/>
      <c r="V392" s="37"/>
      <c r="W392" s="37"/>
      <c r="X392" s="37"/>
      <c r="Y392" s="37"/>
      <c r="Z39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2" s="37"/>
      <c r="AB392" s="713" t="str">
        <f>IF(COUNTA(SalCommune[[#This Row],[Nom]:[heures annuelles
selon contrat(s)]])=0,"",SalCommune[[#This Row],[Total global]]-ABS(SalCommune[[#This Row],[Dont non opposable]]))</f>
        <v/>
      </c>
      <c r="AC392" s="8"/>
      <c r="AD392" s="63"/>
      <c r="AE392" s="430"/>
      <c r="AF392" s="430"/>
      <c r="AG392" s="430"/>
      <c r="AH392" s="181"/>
      <c r="AI392" s="194">
        <f>IF(COUNTA(SalCommune[[#This Row],[N°]:[heures annuelles
selon contrat(s)]])=0,"",REVEX!$E$9)</f>
        <v>0</v>
      </c>
      <c r="AJ392" s="72"/>
    </row>
    <row r="393" spans="1:36" x14ac:dyDescent="0.25">
      <c r="A393" s="72"/>
      <c r="B393" s="725" t="str">
        <f>IF(SalCommune[[#This Row],[Matricule]]="","",MAX($B$7:B392)+1)</f>
        <v/>
      </c>
      <c r="C393" s="8"/>
      <c r="D393" s="8"/>
      <c r="E393" s="20"/>
      <c r="F393" s="8"/>
      <c r="G393" s="8"/>
      <c r="H393" s="9"/>
      <c r="I393" s="9"/>
      <c r="J393" s="9"/>
      <c r="K393" s="714"/>
      <c r="L393" s="714"/>
      <c r="M393" s="9"/>
      <c r="N393" s="9"/>
      <c r="O393" s="9"/>
      <c r="P39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3" s="9"/>
      <c r="R393" s="9"/>
      <c r="S393" s="9"/>
      <c r="T393" s="37"/>
      <c r="U393" s="37"/>
      <c r="V393" s="37"/>
      <c r="W393" s="37"/>
      <c r="X393" s="37"/>
      <c r="Y393" s="37"/>
      <c r="Z39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3" s="37"/>
      <c r="AB393" s="713" t="str">
        <f>IF(COUNTA(SalCommune[[#This Row],[Nom]:[heures annuelles
selon contrat(s)]])=0,"",SalCommune[[#This Row],[Total global]]-ABS(SalCommune[[#This Row],[Dont non opposable]]))</f>
        <v/>
      </c>
      <c r="AC393" s="8"/>
      <c r="AD393" s="63"/>
      <c r="AE393" s="430"/>
      <c r="AF393" s="430"/>
      <c r="AG393" s="430"/>
      <c r="AH393" s="181"/>
      <c r="AI393" s="194">
        <f>IF(COUNTA(SalCommune[[#This Row],[N°]:[heures annuelles
selon contrat(s)]])=0,"",REVEX!$E$9)</f>
        <v>0</v>
      </c>
      <c r="AJ393" s="72"/>
    </row>
    <row r="394" spans="1:36" x14ac:dyDescent="0.25">
      <c r="A394" s="72"/>
      <c r="B394" s="725" t="str">
        <f>IF(SalCommune[[#This Row],[Matricule]]="","",MAX($B$7:B393)+1)</f>
        <v/>
      </c>
      <c r="C394" s="8"/>
      <c r="D394" s="8"/>
      <c r="E394" s="20"/>
      <c r="F394" s="8"/>
      <c r="G394" s="8"/>
      <c r="H394" s="9"/>
      <c r="I394" s="9"/>
      <c r="J394" s="9"/>
      <c r="K394" s="714"/>
      <c r="L394" s="714"/>
      <c r="M394" s="9"/>
      <c r="N394" s="9"/>
      <c r="O394" s="9"/>
      <c r="P39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4" s="9"/>
      <c r="R394" s="9"/>
      <c r="S394" s="9"/>
      <c r="T394" s="37"/>
      <c r="U394" s="37"/>
      <c r="V394" s="37"/>
      <c r="W394" s="37"/>
      <c r="X394" s="37"/>
      <c r="Y394" s="37"/>
      <c r="Z39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4" s="37"/>
      <c r="AB394" s="713" t="str">
        <f>IF(COUNTA(SalCommune[[#This Row],[Nom]:[heures annuelles
selon contrat(s)]])=0,"",SalCommune[[#This Row],[Total global]]-ABS(SalCommune[[#This Row],[Dont non opposable]]))</f>
        <v/>
      </c>
      <c r="AC394" s="8"/>
      <c r="AD394" s="63"/>
      <c r="AE394" s="430"/>
      <c r="AF394" s="430"/>
      <c r="AG394" s="430"/>
      <c r="AH394" s="181"/>
      <c r="AI394" s="194">
        <f>IF(COUNTA(SalCommune[[#This Row],[N°]:[heures annuelles
selon contrat(s)]])=0,"",REVEX!$E$9)</f>
        <v>0</v>
      </c>
      <c r="AJ394" s="72"/>
    </row>
    <row r="395" spans="1:36" x14ac:dyDescent="0.25">
      <c r="A395" s="72"/>
      <c r="B395" s="725" t="str">
        <f>IF(SalCommune[[#This Row],[Matricule]]="","",MAX($B$7:B394)+1)</f>
        <v/>
      </c>
      <c r="C395" s="8"/>
      <c r="D395" s="8"/>
      <c r="E395" s="20"/>
      <c r="F395" s="8"/>
      <c r="G395" s="8"/>
      <c r="H395" s="9"/>
      <c r="I395" s="9"/>
      <c r="J395" s="9"/>
      <c r="K395" s="714"/>
      <c r="L395" s="714"/>
      <c r="M395" s="9"/>
      <c r="N395" s="9"/>
      <c r="O395" s="9"/>
      <c r="P39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5" s="9"/>
      <c r="R395" s="9"/>
      <c r="S395" s="9"/>
      <c r="T395" s="37"/>
      <c r="U395" s="37"/>
      <c r="V395" s="37"/>
      <c r="W395" s="37"/>
      <c r="X395" s="37"/>
      <c r="Y395" s="37"/>
      <c r="Z39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5" s="37"/>
      <c r="AB395" s="713" t="str">
        <f>IF(COUNTA(SalCommune[[#This Row],[Nom]:[heures annuelles
selon contrat(s)]])=0,"",SalCommune[[#This Row],[Total global]]-ABS(SalCommune[[#This Row],[Dont non opposable]]))</f>
        <v/>
      </c>
      <c r="AC395" s="8"/>
      <c r="AD395" s="63"/>
      <c r="AE395" s="430"/>
      <c r="AF395" s="430"/>
      <c r="AG395" s="430"/>
      <c r="AH395" s="181"/>
      <c r="AI395" s="194">
        <f>IF(COUNTA(SalCommune[[#This Row],[N°]:[heures annuelles
selon contrat(s)]])=0,"",REVEX!$E$9)</f>
        <v>0</v>
      </c>
      <c r="AJ395" s="72"/>
    </row>
    <row r="396" spans="1:36" x14ac:dyDescent="0.25">
      <c r="A396" s="72"/>
      <c r="B396" s="725" t="str">
        <f>IF(SalCommune[[#This Row],[Matricule]]="","",MAX($B$7:B395)+1)</f>
        <v/>
      </c>
      <c r="C396" s="8"/>
      <c r="D396" s="8"/>
      <c r="E396" s="20"/>
      <c r="F396" s="8"/>
      <c r="G396" s="8"/>
      <c r="H396" s="9"/>
      <c r="I396" s="9"/>
      <c r="J396" s="9"/>
      <c r="K396" s="714"/>
      <c r="L396" s="714"/>
      <c r="M396" s="9"/>
      <c r="N396" s="9"/>
      <c r="O396" s="9"/>
      <c r="P39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6" s="9"/>
      <c r="R396" s="9"/>
      <c r="S396" s="9"/>
      <c r="T396" s="37"/>
      <c r="U396" s="37"/>
      <c r="V396" s="37"/>
      <c r="W396" s="37"/>
      <c r="X396" s="37"/>
      <c r="Y396" s="37"/>
      <c r="Z39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6" s="37"/>
      <c r="AB396" s="713" t="str">
        <f>IF(COUNTA(SalCommune[[#This Row],[Nom]:[heures annuelles
selon contrat(s)]])=0,"",SalCommune[[#This Row],[Total global]]-ABS(SalCommune[[#This Row],[Dont non opposable]]))</f>
        <v/>
      </c>
      <c r="AC396" s="8"/>
      <c r="AD396" s="63"/>
      <c r="AE396" s="430"/>
      <c r="AF396" s="430"/>
      <c r="AG396" s="430"/>
      <c r="AH396" s="181"/>
      <c r="AI396" s="194">
        <f>IF(COUNTA(SalCommune[[#This Row],[N°]:[heures annuelles
selon contrat(s)]])=0,"",REVEX!$E$9)</f>
        <v>0</v>
      </c>
      <c r="AJ396" s="72"/>
    </row>
    <row r="397" spans="1:36" x14ac:dyDescent="0.25">
      <c r="A397" s="72"/>
      <c r="B397" s="725" t="str">
        <f>IF(SalCommune[[#This Row],[Matricule]]="","",MAX($B$7:B396)+1)</f>
        <v/>
      </c>
      <c r="C397" s="8"/>
      <c r="D397" s="8"/>
      <c r="E397" s="20"/>
      <c r="F397" s="8"/>
      <c r="G397" s="8"/>
      <c r="H397" s="9"/>
      <c r="I397" s="9"/>
      <c r="J397" s="9"/>
      <c r="K397" s="714"/>
      <c r="L397" s="714"/>
      <c r="M397" s="9"/>
      <c r="N397" s="9"/>
      <c r="O397" s="9"/>
      <c r="P39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7" s="9"/>
      <c r="R397" s="9"/>
      <c r="S397" s="9"/>
      <c r="T397" s="37"/>
      <c r="U397" s="37"/>
      <c r="V397" s="37"/>
      <c r="W397" s="37"/>
      <c r="X397" s="37"/>
      <c r="Y397" s="37"/>
      <c r="Z39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7" s="37"/>
      <c r="AB397" s="713" t="str">
        <f>IF(COUNTA(SalCommune[[#This Row],[Nom]:[heures annuelles
selon contrat(s)]])=0,"",SalCommune[[#This Row],[Total global]]-ABS(SalCommune[[#This Row],[Dont non opposable]]))</f>
        <v/>
      </c>
      <c r="AC397" s="8"/>
      <c r="AD397" s="63"/>
      <c r="AE397" s="430"/>
      <c r="AF397" s="430"/>
      <c r="AG397" s="430"/>
      <c r="AH397" s="181"/>
      <c r="AI397" s="194">
        <f>IF(COUNTA(SalCommune[[#This Row],[N°]:[heures annuelles
selon contrat(s)]])=0,"",REVEX!$E$9)</f>
        <v>0</v>
      </c>
      <c r="AJ397" s="72"/>
    </row>
    <row r="398" spans="1:36" x14ac:dyDescent="0.25">
      <c r="A398" s="72"/>
      <c r="B398" s="725" t="str">
        <f>IF(SalCommune[[#This Row],[Matricule]]="","",MAX($B$7:B397)+1)</f>
        <v/>
      </c>
      <c r="C398" s="8"/>
      <c r="D398" s="8"/>
      <c r="E398" s="20"/>
      <c r="F398" s="8"/>
      <c r="G398" s="8"/>
      <c r="H398" s="9"/>
      <c r="I398" s="9"/>
      <c r="J398" s="9"/>
      <c r="K398" s="714"/>
      <c r="L398" s="714"/>
      <c r="M398" s="9"/>
      <c r="N398" s="9"/>
      <c r="O398" s="9"/>
      <c r="P39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8" s="9"/>
      <c r="R398" s="9"/>
      <c r="S398" s="9"/>
      <c r="T398" s="37"/>
      <c r="U398" s="37"/>
      <c r="V398" s="37"/>
      <c r="W398" s="37"/>
      <c r="X398" s="37"/>
      <c r="Y398" s="37"/>
      <c r="Z39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8" s="37"/>
      <c r="AB398" s="713" t="str">
        <f>IF(COUNTA(SalCommune[[#This Row],[Nom]:[heures annuelles
selon contrat(s)]])=0,"",SalCommune[[#This Row],[Total global]]-ABS(SalCommune[[#This Row],[Dont non opposable]]))</f>
        <v/>
      </c>
      <c r="AC398" s="8"/>
      <c r="AD398" s="63"/>
      <c r="AE398" s="430"/>
      <c r="AF398" s="430"/>
      <c r="AG398" s="430"/>
      <c r="AH398" s="181"/>
      <c r="AI398" s="194">
        <f>IF(COUNTA(SalCommune[[#This Row],[N°]:[heures annuelles
selon contrat(s)]])=0,"",REVEX!$E$9)</f>
        <v>0</v>
      </c>
      <c r="AJ398" s="72"/>
    </row>
    <row r="399" spans="1:36" x14ac:dyDescent="0.25">
      <c r="A399" s="72"/>
      <c r="B399" s="725" t="str">
        <f>IF(SalCommune[[#This Row],[Matricule]]="","",MAX($B$7:B398)+1)</f>
        <v/>
      </c>
      <c r="C399" s="8"/>
      <c r="D399" s="8"/>
      <c r="E399" s="20"/>
      <c r="F399" s="8"/>
      <c r="G399" s="8"/>
      <c r="H399" s="9"/>
      <c r="I399" s="9"/>
      <c r="J399" s="9"/>
      <c r="K399" s="714"/>
      <c r="L399" s="714"/>
      <c r="M399" s="9"/>
      <c r="N399" s="9"/>
      <c r="O399" s="9"/>
      <c r="P39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399" s="9"/>
      <c r="R399" s="9"/>
      <c r="S399" s="9"/>
      <c r="T399" s="37"/>
      <c r="U399" s="37"/>
      <c r="V399" s="37"/>
      <c r="W399" s="37"/>
      <c r="X399" s="37"/>
      <c r="Y399" s="37"/>
      <c r="Z39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399" s="37"/>
      <c r="AB399" s="713" t="str">
        <f>IF(COUNTA(SalCommune[[#This Row],[Nom]:[heures annuelles
selon contrat(s)]])=0,"",SalCommune[[#This Row],[Total global]]-ABS(SalCommune[[#This Row],[Dont non opposable]]))</f>
        <v/>
      </c>
      <c r="AC399" s="8"/>
      <c r="AD399" s="63"/>
      <c r="AE399" s="430"/>
      <c r="AF399" s="430"/>
      <c r="AG399" s="430"/>
      <c r="AH399" s="181"/>
      <c r="AI399" s="194">
        <f>IF(COUNTA(SalCommune[[#This Row],[N°]:[heures annuelles
selon contrat(s)]])=0,"",REVEX!$E$9)</f>
        <v>0</v>
      </c>
      <c r="AJ399" s="72"/>
    </row>
    <row r="400" spans="1:36" x14ac:dyDescent="0.25">
      <c r="A400" s="72"/>
      <c r="B400" s="725" t="str">
        <f>IF(SalCommune[[#This Row],[Matricule]]="","",MAX($B$7:B399)+1)</f>
        <v/>
      </c>
      <c r="C400" s="8"/>
      <c r="D400" s="8"/>
      <c r="E400" s="20"/>
      <c r="F400" s="8"/>
      <c r="G400" s="8"/>
      <c r="H400" s="9"/>
      <c r="I400" s="9"/>
      <c r="J400" s="9"/>
      <c r="K400" s="714"/>
      <c r="L400" s="714"/>
      <c r="M400" s="9"/>
      <c r="N400" s="9"/>
      <c r="O400" s="9"/>
      <c r="P40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0" s="9"/>
      <c r="R400" s="9"/>
      <c r="S400" s="9"/>
      <c r="T400" s="37"/>
      <c r="U400" s="37"/>
      <c r="V400" s="37"/>
      <c r="W400" s="37"/>
      <c r="X400" s="37"/>
      <c r="Y400" s="37"/>
      <c r="Z40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0" s="37"/>
      <c r="AB400" s="713" t="str">
        <f>IF(COUNTA(SalCommune[[#This Row],[Nom]:[heures annuelles
selon contrat(s)]])=0,"",SalCommune[[#This Row],[Total global]]-ABS(SalCommune[[#This Row],[Dont non opposable]]))</f>
        <v/>
      </c>
      <c r="AC400" s="8"/>
      <c r="AD400" s="63"/>
      <c r="AE400" s="430"/>
      <c r="AF400" s="430"/>
      <c r="AG400" s="430"/>
      <c r="AH400" s="181"/>
      <c r="AI400" s="194">
        <f>IF(COUNTA(SalCommune[[#This Row],[N°]:[heures annuelles
selon contrat(s)]])=0,"",REVEX!$E$9)</f>
        <v>0</v>
      </c>
      <c r="AJ400" s="72"/>
    </row>
    <row r="401" spans="1:36" x14ac:dyDescent="0.25">
      <c r="A401" s="72"/>
      <c r="B401" s="725" t="str">
        <f>IF(SalCommune[[#This Row],[Matricule]]="","",MAX($B$7:B400)+1)</f>
        <v/>
      </c>
      <c r="C401" s="8"/>
      <c r="D401" s="8"/>
      <c r="E401" s="20"/>
      <c r="F401" s="8"/>
      <c r="G401" s="8"/>
      <c r="H401" s="9"/>
      <c r="I401" s="9"/>
      <c r="J401" s="9"/>
      <c r="K401" s="714"/>
      <c r="L401" s="714"/>
      <c r="M401" s="9"/>
      <c r="N401" s="9"/>
      <c r="O401" s="9"/>
      <c r="P40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1" s="9"/>
      <c r="R401" s="9"/>
      <c r="S401" s="9"/>
      <c r="T401" s="37"/>
      <c r="U401" s="37"/>
      <c r="V401" s="37"/>
      <c r="W401" s="37"/>
      <c r="X401" s="37"/>
      <c r="Y401" s="37"/>
      <c r="Z40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1" s="37"/>
      <c r="AB401" s="713" t="str">
        <f>IF(COUNTA(SalCommune[[#This Row],[Nom]:[heures annuelles
selon contrat(s)]])=0,"",SalCommune[[#This Row],[Total global]]-ABS(SalCommune[[#This Row],[Dont non opposable]]))</f>
        <v/>
      </c>
      <c r="AC401" s="8"/>
      <c r="AD401" s="63"/>
      <c r="AE401" s="430"/>
      <c r="AF401" s="430"/>
      <c r="AG401" s="430"/>
      <c r="AH401" s="181"/>
      <c r="AI401" s="194">
        <f>IF(COUNTA(SalCommune[[#This Row],[N°]:[heures annuelles
selon contrat(s)]])=0,"",REVEX!$E$9)</f>
        <v>0</v>
      </c>
      <c r="AJ401" s="72"/>
    </row>
    <row r="402" spans="1:36" x14ac:dyDescent="0.25">
      <c r="A402" s="72"/>
      <c r="B402" s="725" t="str">
        <f>IF(SalCommune[[#This Row],[Matricule]]="","",MAX($B$7:B401)+1)</f>
        <v/>
      </c>
      <c r="C402" s="8"/>
      <c r="D402" s="8"/>
      <c r="E402" s="20"/>
      <c r="F402" s="8"/>
      <c r="G402" s="8"/>
      <c r="H402" s="9"/>
      <c r="I402" s="9"/>
      <c r="J402" s="9"/>
      <c r="K402" s="714"/>
      <c r="L402" s="714"/>
      <c r="M402" s="9"/>
      <c r="N402" s="9"/>
      <c r="O402" s="9"/>
      <c r="P40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2" s="9"/>
      <c r="R402" s="9"/>
      <c r="S402" s="9"/>
      <c r="T402" s="37"/>
      <c r="U402" s="37"/>
      <c r="V402" s="37"/>
      <c r="W402" s="37"/>
      <c r="X402" s="37"/>
      <c r="Y402" s="37"/>
      <c r="Z40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2" s="37"/>
      <c r="AB402" s="713" t="str">
        <f>IF(COUNTA(SalCommune[[#This Row],[Nom]:[heures annuelles
selon contrat(s)]])=0,"",SalCommune[[#This Row],[Total global]]-ABS(SalCommune[[#This Row],[Dont non opposable]]))</f>
        <v/>
      </c>
      <c r="AC402" s="8"/>
      <c r="AD402" s="63"/>
      <c r="AE402" s="430"/>
      <c r="AF402" s="430"/>
      <c r="AG402" s="430"/>
      <c r="AH402" s="181"/>
      <c r="AI402" s="194">
        <f>IF(COUNTA(SalCommune[[#This Row],[N°]:[heures annuelles
selon contrat(s)]])=0,"",REVEX!$E$9)</f>
        <v>0</v>
      </c>
      <c r="AJ402" s="72"/>
    </row>
    <row r="403" spans="1:36" x14ac:dyDescent="0.25">
      <c r="A403" s="72"/>
      <c r="B403" s="725" t="str">
        <f>IF(SalCommune[[#This Row],[Matricule]]="","",MAX($B$7:B402)+1)</f>
        <v/>
      </c>
      <c r="C403" s="8"/>
      <c r="D403" s="8"/>
      <c r="E403" s="20"/>
      <c r="F403" s="8"/>
      <c r="G403" s="8"/>
      <c r="H403" s="9"/>
      <c r="I403" s="9"/>
      <c r="J403" s="9"/>
      <c r="K403" s="714"/>
      <c r="L403" s="714"/>
      <c r="M403" s="9"/>
      <c r="N403" s="9"/>
      <c r="O403" s="9"/>
      <c r="P40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3" s="9"/>
      <c r="R403" s="9"/>
      <c r="S403" s="9"/>
      <c r="T403" s="37"/>
      <c r="U403" s="37"/>
      <c r="V403" s="37"/>
      <c r="W403" s="37"/>
      <c r="X403" s="37"/>
      <c r="Y403" s="37"/>
      <c r="Z40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3" s="37"/>
      <c r="AB403" s="713" t="str">
        <f>IF(COUNTA(SalCommune[[#This Row],[Nom]:[heures annuelles
selon contrat(s)]])=0,"",SalCommune[[#This Row],[Total global]]-ABS(SalCommune[[#This Row],[Dont non opposable]]))</f>
        <v/>
      </c>
      <c r="AC403" s="8"/>
      <c r="AD403" s="63"/>
      <c r="AE403" s="430"/>
      <c r="AF403" s="430"/>
      <c r="AG403" s="430"/>
      <c r="AH403" s="181"/>
      <c r="AI403" s="194">
        <f>IF(COUNTA(SalCommune[[#This Row],[N°]:[heures annuelles
selon contrat(s)]])=0,"",REVEX!$E$9)</f>
        <v>0</v>
      </c>
      <c r="AJ403" s="72"/>
    </row>
    <row r="404" spans="1:36" x14ac:dyDescent="0.25">
      <c r="A404" s="72"/>
      <c r="B404" s="725" t="str">
        <f>IF(SalCommune[[#This Row],[Matricule]]="","",MAX($B$7:B403)+1)</f>
        <v/>
      </c>
      <c r="C404" s="8"/>
      <c r="D404" s="8"/>
      <c r="E404" s="20"/>
      <c r="F404" s="8"/>
      <c r="G404" s="8"/>
      <c r="H404" s="9"/>
      <c r="I404" s="9"/>
      <c r="J404" s="9"/>
      <c r="K404" s="714"/>
      <c r="L404" s="714"/>
      <c r="M404" s="9"/>
      <c r="N404" s="9"/>
      <c r="O404" s="9"/>
      <c r="P40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4" s="9"/>
      <c r="R404" s="9"/>
      <c r="S404" s="9"/>
      <c r="T404" s="37"/>
      <c r="U404" s="37"/>
      <c r="V404" s="37"/>
      <c r="W404" s="37"/>
      <c r="X404" s="37"/>
      <c r="Y404" s="37"/>
      <c r="Z40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4" s="37"/>
      <c r="AB404" s="713" t="str">
        <f>IF(COUNTA(SalCommune[[#This Row],[Nom]:[heures annuelles
selon contrat(s)]])=0,"",SalCommune[[#This Row],[Total global]]-ABS(SalCommune[[#This Row],[Dont non opposable]]))</f>
        <v/>
      </c>
      <c r="AC404" s="8"/>
      <c r="AD404" s="63"/>
      <c r="AE404" s="430"/>
      <c r="AF404" s="430"/>
      <c r="AG404" s="430"/>
      <c r="AH404" s="181"/>
      <c r="AI404" s="194">
        <f>IF(COUNTA(SalCommune[[#This Row],[N°]:[heures annuelles
selon contrat(s)]])=0,"",REVEX!$E$9)</f>
        <v>0</v>
      </c>
      <c r="AJ404" s="72"/>
    </row>
    <row r="405" spans="1:36" x14ac:dyDescent="0.25">
      <c r="A405" s="72"/>
      <c r="B405" s="725" t="str">
        <f>IF(SalCommune[[#This Row],[Matricule]]="","",MAX($B$7:B404)+1)</f>
        <v/>
      </c>
      <c r="C405" s="8"/>
      <c r="D405" s="8"/>
      <c r="E405" s="20"/>
      <c r="F405" s="8"/>
      <c r="G405" s="8"/>
      <c r="H405" s="9"/>
      <c r="I405" s="9"/>
      <c r="J405" s="9"/>
      <c r="K405" s="714"/>
      <c r="L405" s="714"/>
      <c r="M405" s="9"/>
      <c r="N405" s="9"/>
      <c r="O405" s="9"/>
      <c r="P40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5" s="9"/>
      <c r="R405" s="9"/>
      <c r="S405" s="9"/>
      <c r="T405" s="37"/>
      <c r="U405" s="37"/>
      <c r="V405" s="37"/>
      <c r="W405" s="37"/>
      <c r="X405" s="37"/>
      <c r="Y405" s="37"/>
      <c r="Z40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5" s="37"/>
      <c r="AB405" s="713" t="str">
        <f>IF(COUNTA(SalCommune[[#This Row],[Nom]:[heures annuelles
selon contrat(s)]])=0,"",SalCommune[[#This Row],[Total global]]-ABS(SalCommune[[#This Row],[Dont non opposable]]))</f>
        <v/>
      </c>
      <c r="AC405" s="8"/>
      <c r="AD405" s="63"/>
      <c r="AE405" s="430"/>
      <c r="AF405" s="430"/>
      <c r="AG405" s="430"/>
      <c r="AH405" s="181"/>
      <c r="AI405" s="194">
        <f>IF(COUNTA(SalCommune[[#This Row],[N°]:[heures annuelles
selon contrat(s)]])=0,"",REVEX!$E$9)</f>
        <v>0</v>
      </c>
      <c r="AJ405" s="72"/>
    </row>
    <row r="406" spans="1:36" x14ac:dyDescent="0.25">
      <c r="A406" s="72"/>
      <c r="B406" s="725" t="str">
        <f>IF(SalCommune[[#This Row],[Matricule]]="","",MAX($B$7:B405)+1)</f>
        <v/>
      </c>
      <c r="C406" s="8"/>
      <c r="D406" s="8"/>
      <c r="E406" s="20"/>
      <c r="F406" s="8"/>
      <c r="G406" s="8"/>
      <c r="H406" s="9"/>
      <c r="I406" s="9"/>
      <c r="J406" s="9"/>
      <c r="K406" s="714"/>
      <c r="L406" s="714"/>
      <c r="M406" s="9"/>
      <c r="N406" s="9"/>
      <c r="O406" s="9"/>
      <c r="P40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6" s="9"/>
      <c r="R406" s="9"/>
      <c r="S406" s="9"/>
      <c r="T406" s="37"/>
      <c r="U406" s="37"/>
      <c r="V406" s="37"/>
      <c r="W406" s="37"/>
      <c r="X406" s="37"/>
      <c r="Y406" s="37"/>
      <c r="Z40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6" s="37"/>
      <c r="AB406" s="713" t="str">
        <f>IF(COUNTA(SalCommune[[#This Row],[Nom]:[heures annuelles
selon contrat(s)]])=0,"",SalCommune[[#This Row],[Total global]]-ABS(SalCommune[[#This Row],[Dont non opposable]]))</f>
        <v/>
      </c>
      <c r="AC406" s="8"/>
      <c r="AD406" s="63"/>
      <c r="AE406" s="430"/>
      <c r="AF406" s="430"/>
      <c r="AG406" s="430"/>
      <c r="AH406" s="181"/>
      <c r="AI406" s="194">
        <f>IF(COUNTA(SalCommune[[#This Row],[N°]:[heures annuelles
selon contrat(s)]])=0,"",REVEX!$E$9)</f>
        <v>0</v>
      </c>
      <c r="AJ406" s="72"/>
    </row>
    <row r="407" spans="1:36" x14ac:dyDescent="0.25">
      <c r="A407" s="72"/>
      <c r="B407" s="725" t="str">
        <f>IF(SalCommune[[#This Row],[Matricule]]="","",MAX($B$7:B406)+1)</f>
        <v/>
      </c>
      <c r="C407" s="8"/>
      <c r="D407" s="8"/>
      <c r="E407" s="20"/>
      <c r="F407" s="8"/>
      <c r="G407" s="8"/>
      <c r="H407" s="9"/>
      <c r="I407" s="9"/>
      <c r="J407" s="9"/>
      <c r="K407" s="714"/>
      <c r="L407" s="714"/>
      <c r="M407" s="9"/>
      <c r="N407" s="9"/>
      <c r="O407" s="9"/>
      <c r="P40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7" s="9"/>
      <c r="R407" s="9"/>
      <c r="S407" s="9"/>
      <c r="T407" s="37"/>
      <c r="U407" s="37"/>
      <c r="V407" s="37"/>
      <c r="W407" s="37"/>
      <c r="X407" s="37"/>
      <c r="Y407" s="37"/>
      <c r="Z40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7" s="37"/>
      <c r="AB407" s="713" t="str">
        <f>IF(COUNTA(SalCommune[[#This Row],[Nom]:[heures annuelles
selon contrat(s)]])=0,"",SalCommune[[#This Row],[Total global]]-ABS(SalCommune[[#This Row],[Dont non opposable]]))</f>
        <v/>
      </c>
      <c r="AC407" s="8"/>
      <c r="AD407" s="63"/>
      <c r="AE407" s="430"/>
      <c r="AF407" s="430"/>
      <c r="AG407" s="430"/>
      <c r="AH407" s="181"/>
      <c r="AI407" s="194">
        <f>IF(COUNTA(SalCommune[[#This Row],[N°]:[heures annuelles
selon contrat(s)]])=0,"",REVEX!$E$9)</f>
        <v>0</v>
      </c>
      <c r="AJ407" s="72"/>
    </row>
    <row r="408" spans="1:36" x14ac:dyDescent="0.25">
      <c r="A408" s="72"/>
      <c r="B408" s="725" t="str">
        <f>IF(SalCommune[[#This Row],[Matricule]]="","",MAX($B$7:B407)+1)</f>
        <v/>
      </c>
      <c r="C408" s="8"/>
      <c r="D408" s="8"/>
      <c r="E408" s="20"/>
      <c r="F408" s="8"/>
      <c r="G408" s="8"/>
      <c r="H408" s="9"/>
      <c r="I408" s="9"/>
      <c r="J408" s="9"/>
      <c r="K408" s="714"/>
      <c r="L408" s="714"/>
      <c r="M408" s="9"/>
      <c r="N408" s="9"/>
      <c r="O408" s="9"/>
      <c r="P40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8" s="9"/>
      <c r="R408" s="9"/>
      <c r="S408" s="9"/>
      <c r="T408" s="37"/>
      <c r="U408" s="37"/>
      <c r="V408" s="37"/>
      <c r="W408" s="37"/>
      <c r="X408" s="37"/>
      <c r="Y408" s="37"/>
      <c r="Z40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8" s="37"/>
      <c r="AB408" s="713" t="str">
        <f>IF(COUNTA(SalCommune[[#This Row],[Nom]:[heures annuelles
selon contrat(s)]])=0,"",SalCommune[[#This Row],[Total global]]-ABS(SalCommune[[#This Row],[Dont non opposable]]))</f>
        <v/>
      </c>
      <c r="AC408" s="8"/>
      <c r="AD408" s="63"/>
      <c r="AE408" s="430"/>
      <c r="AF408" s="430"/>
      <c r="AG408" s="430"/>
      <c r="AH408" s="181"/>
      <c r="AI408" s="194">
        <f>IF(COUNTA(SalCommune[[#This Row],[N°]:[heures annuelles
selon contrat(s)]])=0,"",REVEX!$E$9)</f>
        <v>0</v>
      </c>
      <c r="AJ408" s="72"/>
    </row>
    <row r="409" spans="1:36" x14ac:dyDescent="0.25">
      <c r="A409" s="72"/>
      <c r="B409" s="725" t="str">
        <f>IF(SalCommune[[#This Row],[Matricule]]="","",MAX($B$7:B408)+1)</f>
        <v/>
      </c>
      <c r="C409" s="8"/>
      <c r="D409" s="8"/>
      <c r="E409" s="20"/>
      <c r="F409" s="8"/>
      <c r="G409" s="8"/>
      <c r="H409" s="9"/>
      <c r="I409" s="9"/>
      <c r="J409" s="9"/>
      <c r="K409" s="714"/>
      <c r="L409" s="714"/>
      <c r="M409" s="9"/>
      <c r="N409" s="9"/>
      <c r="O409" s="9"/>
      <c r="P40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09" s="9"/>
      <c r="R409" s="9"/>
      <c r="S409" s="9"/>
      <c r="T409" s="37"/>
      <c r="U409" s="37"/>
      <c r="V409" s="37"/>
      <c r="W409" s="37"/>
      <c r="X409" s="37"/>
      <c r="Y409" s="37"/>
      <c r="Z40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09" s="37"/>
      <c r="AB409" s="713" t="str">
        <f>IF(COUNTA(SalCommune[[#This Row],[Nom]:[heures annuelles
selon contrat(s)]])=0,"",SalCommune[[#This Row],[Total global]]-ABS(SalCommune[[#This Row],[Dont non opposable]]))</f>
        <v/>
      </c>
      <c r="AC409" s="8"/>
      <c r="AD409" s="63"/>
      <c r="AE409" s="430"/>
      <c r="AF409" s="430"/>
      <c r="AG409" s="430"/>
      <c r="AH409" s="181"/>
      <c r="AI409" s="194">
        <f>IF(COUNTA(SalCommune[[#This Row],[N°]:[heures annuelles
selon contrat(s)]])=0,"",REVEX!$E$9)</f>
        <v>0</v>
      </c>
      <c r="AJ409" s="72"/>
    </row>
    <row r="410" spans="1:36" x14ac:dyDescent="0.25">
      <c r="A410" s="72"/>
      <c r="B410" s="725" t="str">
        <f>IF(SalCommune[[#This Row],[Matricule]]="","",MAX($B$7:B409)+1)</f>
        <v/>
      </c>
      <c r="C410" s="8"/>
      <c r="D410" s="8"/>
      <c r="E410" s="20"/>
      <c r="F410" s="8"/>
      <c r="G410" s="8"/>
      <c r="H410" s="9"/>
      <c r="I410" s="9"/>
      <c r="J410" s="9"/>
      <c r="K410" s="714"/>
      <c r="L410" s="714"/>
      <c r="M410" s="9"/>
      <c r="N410" s="9"/>
      <c r="O410" s="9"/>
      <c r="P41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0" s="9"/>
      <c r="R410" s="9"/>
      <c r="S410" s="9"/>
      <c r="T410" s="37"/>
      <c r="U410" s="37"/>
      <c r="V410" s="37"/>
      <c r="W410" s="37"/>
      <c r="X410" s="37"/>
      <c r="Y410" s="37"/>
      <c r="Z41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0" s="37"/>
      <c r="AB410" s="713" t="str">
        <f>IF(COUNTA(SalCommune[[#This Row],[Nom]:[heures annuelles
selon contrat(s)]])=0,"",SalCommune[[#This Row],[Total global]]-ABS(SalCommune[[#This Row],[Dont non opposable]]))</f>
        <v/>
      </c>
      <c r="AC410" s="8"/>
      <c r="AD410" s="63"/>
      <c r="AE410" s="430"/>
      <c r="AF410" s="430"/>
      <c r="AG410" s="430"/>
      <c r="AH410" s="181"/>
      <c r="AI410" s="194">
        <f>IF(COUNTA(SalCommune[[#This Row],[N°]:[heures annuelles
selon contrat(s)]])=0,"",REVEX!$E$9)</f>
        <v>0</v>
      </c>
      <c r="AJ410" s="72"/>
    </row>
    <row r="411" spans="1:36" x14ac:dyDescent="0.25">
      <c r="A411" s="72"/>
      <c r="B411" s="725" t="str">
        <f>IF(SalCommune[[#This Row],[Matricule]]="","",MAX($B$7:B410)+1)</f>
        <v/>
      </c>
      <c r="C411" s="8"/>
      <c r="D411" s="8"/>
      <c r="E411" s="20"/>
      <c r="F411" s="8"/>
      <c r="G411" s="8"/>
      <c r="H411" s="9"/>
      <c r="I411" s="9"/>
      <c r="J411" s="9"/>
      <c r="K411" s="714"/>
      <c r="L411" s="714"/>
      <c r="M411" s="9"/>
      <c r="N411" s="9"/>
      <c r="O411" s="9"/>
      <c r="P41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1" s="9"/>
      <c r="R411" s="9"/>
      <c r="S411" s="9"/>
      <c r="T411" s="37"/>
      <c r="U411" s="37"/>
      <c r="V411" s="37"/>
      <c r="W411" s="37"/>
      <c r="X411" s="37"/>
      <c r="Y411" s="37"/>
      <c r="Z41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1" s="37"/>
      <c r="AB411" s="713" t="str">
        <f>IF(COUNTA(SalCommune[[#This Row],[Nom]:[heures annuelles
selon contrat(s)]])=0,"",SalCommune[[#This Row],[Total global]]-ABS(SalCommune[[#This Row],[Dont non opposable]]))</f>
        <v/>
      </c>
      <c r="AC411" s="8"/>
      <c r="AD411" s="63"/>
      <c r="AE411" s="430"/>
      <c r="AF411" s="430"/>
      <c r="AG411" s="430"/>
      <c r="AH411" s="181"/>
      <c r="AI411" s="194">
        <f>IF(COUNTA(SalCommune[[#This Row],[N°]:[heures annuelles
selon contrat(s)]])=0,"",REVEX!$E$9)</f>
        <v>0</v>
      </c>
      <c r="AJ411" s="72"/>
    </row>
    <row r="412" spans="1:36" x14ac:dyDescent="0.25">
      <c r="A412" s="72"/>
      <c r="B412" s="725" t="str">
        <f>IF(SalCommune[[#This Row],[Matricule]]="","",MAX($B$7:B411)+1)</f>
        <v/>
      </c>
      <c r="C412" s="8"/>
      <c r="D412" s="8"/>
      <c r="E412" s="20"/>
      <c r="F412" s="8"/>
      <c r="G412" s="8"/>
      <c r="H412" s="9"/>
      <c r="I412" s="9"/>
      <c r="J412" s="9"/>
      <c r="K412" s="714"/>
      <c r="L412" s="714"/>
      <c r="M412" s="9"/>
      <c r="N412" s="9"/>
      <c r="O412" s="9"/>
      <c r="P41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2" s="9"/>
      <c r="R412" s="9"/>
      <c r="S412" s="9"/>
      <c r="T412" s="37"/>
      <c r="U412" s="37"/>
      <c r="V412" s="37"/>
      <c r="W412" s="37"/>
      <c r="X412" s="37"/>
      <c r="Y412" s="37"/>
      <c r="Z41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2" s="37"/>
      <c r="AB412" s="713" t="str">
        <f>IF(COUNTA(SalCommune[[#This Row],[Nom]:[heures annuelles
selon contrat(s)]])=0,"",SalCommune[[#This Row],[Total global]]-ABS(SalCommune[[#This Row],[Dont non opposable]]))</f>
        <v/>
      </c>
      <c r="AC412" s="8"/>
      <c r="AD412" s="63"/>
      <c r="AE412" s="430"/>
      <c r="AF412" s="430"/>
      <c r="AG412" s="430"/>
      <c r="AH412" s="181"/>
      <c r="AI412" s="194">
        <f>IF(COUNTA(SalCommune[[#This Row],[N°]:[heures annuelles
selon contrat(s)]])=0,"",REVEX!$E$9)</f>
        <v>0</v>
      </c>
      <c r="AJ412" s="72"/>
    </row>
    <row r="413" spans="1:36" x14ac:dyDescent="0.25">
      <c r="A413" s="72"/>
      <c r="B413" s="725" t="str">
        <f>IF(SalCommune[[#This Row],[Matricule]]="","",MAX($B$7:B412)+1)</f>
        <v/>
      </c>
      <c r="C413" s="8"/>
      <c r="D413" s="8"/>
      <c r="E413" s="20"/>
      <c r="F413" s="8"/>
      <c r="G413" s="8"/>
      <c r="H413" s="9"/>
      <c r="I413" s="9"/>
      <c r="J413" s="9"/>
      <c r="K413" s="714"/>
      <c r="L413" s="714"/>
      <c r="M413" s="9"/>
      <c r="N413" s="9"/>
      <c r="O413" s="9"/>
      <c r="P41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3" s="9"/>
      <c r="R413" s="9"/>
      <c r="S413" s="9"/>
      <c r="T413" s="37"/>
      <c r="U413" s="37"/>
      <c r="V413" s="37"/>
      <c r="W413" s="37"/>
      <c r="X413" s="37"/>
      <c r="Y413" s="37"/>
      <c r="Z41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3" s="37"/>
      <c r="AB413" s="713" t="str">
        <f>IF(COUNTA(SalCommune[[#This Row],[Nom]:[heures annuelles
selon contrat(s)]])=0,"",SalCommune[[#This Row],[Total global]]-ABS(SalCommune[[#This Row],[Dont non opposable]]))</f>
        <v/>
      </c>
      <c r="AC413" s="8"/>
      <c r="AD413" s="63"/>
      <c r="AE413" s="430"/>
      <c r="AF413" s="430"/>
      <c r="AG413" s="430"/>
      <c r="AH413" s="181"/>
      <c r="AI413" s="194">
        <f>IF(COUNTA(SalCommune[[#This Row],[N°]:[heures annuelles
selon contrat(s)]])=0,"",REVEX!$E$9)</f>
        <v>0</v>
      </c>
      <c r="AJ413" s="72"/>
    </row>
    <row r="414" spans="1:36" x14ac:dyDescent="0.25">
      <c r="A414" s="72"/>
      <c r="B414" s="725" t="str">
        <f>IF(SalCommune[[#This Row],[Matricule]]="","",MAX($B$7:B413)+1)</f>
        <v/>
      </c>
      <c r="C414" s="8"/>
      <c r="D414" s="8"/>
      <c r="E414" s="20"/>
      <c r="F414" s="8"/>
      <c r="G414" s="8"/>
      <c r="H414" s="9"/>
      <c r="I414" s="9"/>
      <c r="J414" s="9"/>
      <c r="K414" s="714"/>
      <c r="L414" s="714"/>
      <c r="M414" s="9"/>
      <c r="N414" s="9"/>
      <c r="O414" s="9"/>
      <c r="P41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4" s="9"/>
      <c r="R414" s="9"/>
      <c r="S414" s="9"/>
      <c r="T414" s="37"/>
      <c r="U414" s="37"/>
      <c r="V414" s="37"/>
      <c r="W414" s="37"/>
      <c r="X414" s="37"/>
      <c r="Y414" s="37"/>
      <c r="Z41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4" s="37"/>
      <c r="AB414" s="713" t="str">
        <f>IF(COUNTA(SalCommune[[#This Row],[Nom]:[heures annuelles
selon contrat(s)]])=0,"",SalCommune[[#This Row],[Total global]]-ABS(SalCommune[[#This Row],[Dont non opposable]]))</f>
        <v/>
      </c>
      <c r="AC414" s="8"/>
      <c r="AD414" s="63"/>
      <c r="AE414" s="430"/>
      <c r="AF414" s="430"/>
      <c r="AG414" s="430"/>
      <c r="AH414" s="181"/>
      <c r="AI414" s="194">
        <f>IF(COUNTA(SalCommune[[#This Row],[N°]:[heures annuelles
selon contrat(s)]])=0,"",REVEX!$E$9)</f>
        <v>0</v>
      </c>
      <c r="AJ414" s="72"/>
    </row>
    <row r="415" spans="1:36" x14ac:dyDescent="0.25">
      <c r="A415" s="72"/>
      <c r="B415" s="725" t="str">
        <f>IF(SalCommune[[#This Row],[Matricule]]="","",MAX($B$7:B414)+1)</f>
        <v/>
      </c>
      <c r="C415" s="8"/>
      <c r="D415" s="8"/>
      <c r="E415" s="20"/>
      <c r="F415" s="8"/>
      <c r="G415" s="8"/>
      <c r="H415" s="9"/>
      <c r="I415" s="9"/>
      <c r="J415" s="9"/>
      <c r="K415" s="714"/>
      <c r="L415" s="714"/>
      <c r="M415" s="9"/>
      <c r="N415" s="9"/>
      <c r="O415" s="9"/>
      <c r="P41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5" s="9"/>
      <c r="R415" s="9"/>
      <c r="S415" s="9"/>
      <c r="T415" s="37"/>
      <c r="U415" s="37"/>
      <c r="V415" s="37"/>
      <c r="W415" s="37"/>
      <c r="X415" s="37"/>
      <c r="Y415" s="37"/>
      <c r="Z41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5" s="37"/>
      <c r="AB415" s="713" t="str">
        <f>IF(COUNTA(SalCommune[[#This Row],[Nom]:[heures annuelles
selon contrat(s)]])=0,"",SalCommune[[#This Row],[Total global]]-ABS(SalCommune[[#This Row],[Dont non opposable]]))</f>
        <v/>
      </c>
      <c r="AC415" s="8"/>
      <c r="AD415" s="63"/>
      <c r="AE415" s="430"/>
      <c r="AF415" s="430"/>
      <c r="AG415" s="430"/>
      <c r="AH415" s="181"/>
      <c r="AI415" s="194">
        <f>IF(COUNTA(SalCommune[[#This Row],[N°]:[heures annuelles
selon contrat(s)]])=0,"",REVEX!$E$9)</f>
        <v>0</v>
      </c>
      <c r="AJ415" s="72"/>
    </row>
    <row r="416" spans="1:36" x14ac:dyDescent="0.25">
      <c r="A416" s="72"/>
      <c r="B416" s="725" t="str">
        <f>IF(SalCommune[[#This Row],[Matricule]]="","",MAX($B$7:B415)+1)</f>
        <v/>
      </c>
      <c r="C416" s="8"/>
      <c r="D416" s="8"/>
      <c r="E416" s="20"/>
      <c r="F416" s="8"/>
      <c r="G416" s="8"/>
      <c r="H416" s="9"/>
      <c r="I416" s="9"/>
      <c r="J416" s="9"/>
      <c r="K416" s="714"/>
      <c r="L416" s="714"/>
      <c r="M416" s="9"/>
      <c r="N416" s="9"/>
      <c r="O416" s="9"/>
      <c r="P41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6" s="9"/>
      <c r="R416" s="9"/>
      <c r="S416" s="9"/>
      <c r="T416" s="37"/>
      <c r="U416" s="37"/>
      <c r="V416" s="37"/>
      <c r="W416" s="37"/>
      <c r="X416" s="37"/>
      <c r="Y416" s="37"/>
      <c r="Z41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6" s="37"/>
      <c r="AB416" s="713" t="str">
        <f>IF(COUNTA(SalCommune[[#This Row],[Nom]:[heures annuelles
selon contrat(s)]])=0,"",SalCommune[[#This Row],[Total global]]-ABS(SalCommune[[#This Row],[Dont non opposable]]))</f>
        <v/>
      </c>
      <c r="AC416" s="8"/>
      <c r="AD416" s="63"/>
      <c r="AE416" s="430"/>
      <c r="AF416" s="430"/>
      <c r="AG416" s="430"/>
      <c r="AH416" s="181"/>
      <c r="AI416" s="194">
        <f>IF(COUNTA(SalCommune[[#This Row],[N°]:[heures annuelles
selon contrat(s)]])=0,"",REVEX!$E$9)</f>
        <v>0</v>
      </c>
      <c r="AJ416" s="72"/>
    </row>
    <row r="417" spans="1:36" x14ac:dyDescent="0.25">
      <c r="A417" s="72"/>
      <c r="B417" s="725" t="str">
        <f>IF(SalCommune[[#This Row],[Matricule]]="","",MAX($B$7:B416)+1)</f>
        <v/>
      </c>
      <c r="C417" s="8"/>
      <c r="D417" s="8"/>
      <c r="E417" s="20"/>
      <c r="F417" s="8"/>
      <c r="G417" s="8"/>
      <c r="H417" s="9"/>
      <c r="I417" s="9"/>
      <c r="J417" s="9"/>
      <c r="K417" s="714"/>
      <c r="L417" s="714"/>
      <c r="M417" s="9"/>
      <c r="N417" s="9"/>
      <c r="O417" s="9"/>
      <c r="P41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7" s="9"/>
      <c r="R417" s="9"/>
      <c r="S417" s="9"/>
      <c r="T417" s="37"/>
      <c r="U417" s="37"/>
      <c r="V417" s="37"/>
      <c r="W417" s="37"/>
      <c r="X417" s="37"/>
      <c r="Y417" s="37"/>
      <c r="Z41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7" s="37"/>
      <c r="AB417" s="713" t="str">
        <f>IF(COUNTA(SalCommune[[#This Row],[Nom]:[heures annuelles
selon contrat(s)]])=0,"",SalCommune[[#This Row],[Total global]]-ABS(SalCommune[[#This Row],[Dont non opposable]]))</f>
        <v/>
      </c>
      <c r="AC417" s="8"/>
      <c r="AD417" s="63"/>
      <c r="AE417" s="430"/>
      <c r="AF417" s="430"/>
      <c r="AG417" s="430"/>
      <c r="AH417" s="181"/>
      <c r="AI417" s="194">
        <f>IF(COUNTA(SalCommune[[#This Row],[N°]:[heures annuelles
selon contrat(s)]])=0,"",REVEX!$E$9)</f>
        <v>0</v>
      </c>
      <c r="AJ417" s="72"/>
    </row>
    <row r="418" spans="1:36" x14ac:dyDescent="0.25">
      <c r="A418" s="72"/>
      <c r="B418" s="725" t="str">
        <f>IF(SalCommune[[#This Row],[Matricule]]="","",MAX($B$7:B417)+1)</f>
        <v/>
      </c>
      <c r="C418" s="8"/>
      <c r="D418" s="8"/>
      <c r="E418" s="20"/>
      <c r="F418" s="8"/>
      <c r="G418" s="8"/>
      <c r="H418" s="9"/>
      <c r="I418" s="9"/>
      <c r="J418" s="9"/>
      <c r="K418" s="714"/>
      <c r="L418" s="714"/>
      <c r="M418" s="9"/>
      <c r="N418" s="9"/>
      <c r="O418" s="9"/>
      <c r="P41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8" s="9"/>
      <c r="R418" s="9"/>
      <c r="S418" s="9"/>
      <c r="T418" s="37"/>
      <c r="U418" s="37"/>
      <c r="V418" s="37"/>
      <c r="W418" s="37"/>
      <c r="X418" s="37"/>
      <c r="Y418" s="37"/>
      <c r="Z41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8" s="37"/>
      <c r="AB418" s="713" t="str">
        <f>IF(COUNTA(SalCommune[[#This Row],[Nom]:[heures annuelles
selon contrat(s)]])=0,"",SalCommune[[#This Row],[Total global]]-ABS(SalCommune[[#This Row],[Dont non opposable]]))</f>
        <v/>
      </c>
      <c r="AC418" s="8"/>
      <c r="AD418" s="63"/>
      <c r="AE418" s="430"/>
      <c r="AF418" s="430"/>
      <c r="AG418" s="430"/>
      <c r="AH418" s="181"/>
      <c r="AI418" s="194">
        <f>IF(COUNTA(SalCommune[[#This Row],[N°]:[heures annuelles
selon contrat(s)]])=0,"",REVEX!$E$9)</f>
        <v>0</v>
      </c>
      <c r="AJ418" s="72"/>
    </row>
    <row r="419" spans="1:36" x14ac:dyDescent="0.25">
      <c r="A419" s="72"/>
      <c r="B419" s="725" t="str">
        <f>IF(SalCommune[[#This Row],[Matricule]]="","",MAX($B$7:B418)+1)</f>
        <v/>
      </c>
      <c r="C419" s="8"/>
      <c r="D419" s="8"/>
      <c r="E419" s="20"/>
      <c r="F419" s="8"/>
      <c r="G419" s="8"/>
      <c r="H419" s="9"/>
      <c r="I419" s="9"/>
      <c r="J419" s="9"/>
      <c r="K419" s="714"/>
      <c r="L419" s="714"/>
      <c r="M419" s="9"/>
      <c r="N419" s="9"/>
      <c r="O419" s="9"/>
      <c r="P41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19" s="9"/>
      <c r="R419" s="9"/>
      <c r="S419" s="9"/>
      <c r="T419" s="37"/>
      <c r="U419" s="37"/>
      <c r="V419" s="37"/>
      <c r="W419" s="37"/>
      <c r="X419" s="37"/>
      <c r="Y419" s="37"/>
      <c r="Z41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19" s="37"/>
      <c r="AB419" s="713" t="str">
        <f>IF(COUNTA(SalCommune[[#This Row],[Nom]:[heures annuelles
selon contrat(s)]])=0,"",SalCommune[[#This Row],[Total global]]-ABS(SalCommune[[#This Row],[Dont non opposable]]))</f>
        <v/>
      </c>
      <c r="AC419" s="8"/>
      <c r="AD419" s="63"/>
      <c r="AE419" s="430"/>
      <c r="AF419" s="430"/>
      <c r="AG419" s="430"/>
      <c r="AH419" s="181"/>
      <c r="AI419" s="194">
        <f>IF(COUNTA(SalCommune[[#This Row],[N°]:[heures annuelles
selon contrat(s)]])=0,"",REVEX!$E$9)</f>
        <v>0</v>
      </c>
      <c r="AJ419" s="72"/>
    </row>
    <row r="420" spans="1:36" x14ac:dyDescent="0.25">
      <c r="A420" s="72"/>
      <c r="B420" s="725" t="str">
        <f>IF(SalCommune[[#This Row],[Matricule]]="","",MAX($B$7:B419)+1)</f>
        <v/>
      </c>
      <c r="C420" s="8"/>
      <c r="D420" s="8"/>
      <c r="E420" s="20"/>
      <c r="F420" s="8"/>
      <c r="G420" s="8"/>
      <c r="H420" s="9"/>
      <c r="I420" s="9"/>
      <c r="J420" s="9"/>
      <c r="K420" s="714"/>
      <c r="L420" s="714"/>
      <c r="M420" s="9"/>
      <c r="N420" s="9"/>
      <c r="O420" s="9"/>
      <c r="P42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0" s="9"/>
      <c r="R420" s="9"/>
      <c r="S420" s="9"/>
      <c r="T420" s="37"/>
      <c r="U420" s="37"/>
      <c r="V420" s="37"/>
      <c r="W420" s="37"/>
      <c r="X420" s="37"/>
      <c r="Y420" s="37"/>
      <c r="Z42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0" s="37"/>
      <c r="AB420" s="713" t="str">
        <f>IF(COUNTA(SalCommune[[#This Row],[Nom]:[heures annuelles
selon contrat(s)]])=0,"",SalCommune[[#This Row],[Total global]]-ABS(SalCommune[[#This Row],[Dont non opposable]]))</f>
        <v/>
      </c>
      <c r="AC420" s="8"/>
      <c r="AD420" s="63"/>
      <c r="AE420" s="430"/>
      <c r="AF420" s="430"/>
      <c r="AG420" s="430"/>
      <c r="AH420" s="181"/>
      <c r="AI420" s="194">
        <f>IF(COUNTA(SalCommune[[#This Row],[N°]:[heures annuelles
selon contrat(s)]])=0,"",REVEX!$E$9)</f>
        <v>0</v>
      </c>
      <c r="AJ420" s="72"/>
    </row>
    <row r="421" spans="1:36" x14ac:dyDescent="0.25">
      <c r="A421" s="72"/>
      <c r="B421" s="725" t="str">
        <f>IF(SalCommune[[#This Row],[Matricule]]="","",MAX($B$7:B420)+1)</f>
        <v/>
      </c>
      <c r="C421" s="8"/>
      <c r="D421" s="8"/>
      <c r="E421" s="20"/>
      <c r="F421" s="8"/>
      <c r="G421" s="8"/>
      <c r="H421" s="9"/>
      <c r="I421" s="9"/>
      <c r="J421" s="9"/>
      <c r="K421" s="714"/>
      <c r="L421" s="714"/>
      <c r="M421" s="9"/>
      <c r="N421" s="9"/>
      <c r="O421" s="9"/>
      <c r="P42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1" s="9"/>
      <c r="R421" s="9"/>
      <c r="S421" s="9"/>
      <c r="T421" s="37"/>
      <c r="U421" s="37"/>
      <c r="V421" s="37"/>
      <c r="W421" s="37"/>
      <c r="X421" s="37"/>
      <c r="Y421" s="37"/>
      <c r="Z42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1" s="37"/>
      <c r="AB421" s="713" t="str">
        <f>IF(COUNTA(SalCommune[[#This Row],[Nom]:[heures annuelles
selon contrat(s)]])=0,"",SalCommune[[#This Row],[Total global]]-ABS(SalCommune[[#This Row],[Dont non opposable]]))</f>
        <v/>
      </c>
      <c r="AC421" s="8"/>
      <c r="AD421" s="63"/>
      <c r="AE421" s="430"/>
      <c r="AF421" s="430"/>
      <c r="AG421" s="430"/>
      <c r="AH421" s="181"/>
      <c r="AI421" s="194">
        <f>IF(COUNTA(SalCommune[[#This Row],[N°]:[heures annuelles
selon contrat(s)]])=0,"",REVEX!$E$9)</f>
        <v>0</v>
      </c>
      <c r="AJ421" s="72"/>
    </row>
    <row r="422" spans="1:36" x14ac:dyDescent="0.25">
      <c r="A422" s="72"/>
      <c r="B422" s="725" t="str">
        <f>IF(SalCommune[[#This Row],[Matricule]]="","",MAX($B$7:B421)+1)</f>
        <v/>
      </c>
      <c r="C422" s="8"/>
      <c r="D422" s="8"/>
      <c r="E422" s="20"/>
      <c r="F422" s="8"/>
      <c r="G422" s="8"/>
      <c r="H422" s="9"/>
      <c r="I422" s="9"/>
      <c r="J422" s="9"/>
      <c r="K422" s="714"/>
      <c r="L422" s="714"/>
      <c r="M422" s="9"/>
      <c r="N422" s="9"/>
      <c r="O422" s="9"/>
      <c r="P42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2" s="9"/>
      <c r="R422" s="9"/>
      <c r="S422" s="9"/>
      <c r="T422" s="37"/>
      <c r="U422" s="37"/>
      <c r="V422" s="37"/>
      <c r="W422" s="37"/>
      <c r="X422" s="37"/>
      <c r="Y422" s="37"/>
      <c r="Z42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2" s="37"/>
      <c r="AB422" s="713" t="str">
        <f>IF(COUNTA(SalCommune[[#This Row],[Nom]:[heures annuelles
selon contrat(s)]])=0,"",SalCommune[[#This Row],[Total global]]-ABS(SalCommune[[#This Row],[Dont non opposable]]))</f>
        <v/>
      </c>
      <c r="AC422" s="8"/>
      <c r="AD422" s="63"/>
      <c r="AE422" s="430"/>
      <c r="AF422" s="430"/>
      <c r="AG422" s="430"/>
      <c r="AH422" s="181"/>
      <c r="AI422" s="194">
        <f>IF(COUNTA(SalCommune[[#This Row],[N°]:[heures annuelles
selon contrat(s)]])=0,"",REVEX!$E$9)</f>
        <v>0</v>
      </c>
      <c r="AJ422" s="72"/>
    </row>
    <row r="423" spans="1:36" x14ac:dyDescent="0.25">
      <c r="A423" s="72"/>
      <c r="B423" s="725" t="str">
        <f>IF(SalCommune[[#This Row],[Matricule]]="","",MAX($B$7:B422)+1)</f>
        <v/>
      </c>
      <c r="C423" s="8"/>
      <c r="D423" s="8"/>
      <c r="E423" s="20"/>
      <c r="F423" s="8"/>
      <c r="G423" s="8"/>
      <c r="H423" s="9"/>
      <c r="I423" s="9"/>
      <c r="J423" s="9"/>
      <c r="K423" s="714"/>
      <c r="L423" s="714"/>
      <c r="M423" s="9"/>
      <c r="N423" s="9"/>
      <c r="O423" s="9"/>
      <c r="P42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3" s="9"/>
      <c r="R423" s="9"/>
      <c r="S423" s="9"/>
      <c r="T423" s="37"/>
      <c r="U423" s="37"/>
      <c r="V423" s="37"/>
      <c r="W423" s="37"/>
      <c r="X423" s="37"/>
      <c r="Y423" s="37"/>
      <c r="Z42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3" s="37"/>
      <c r="AB423" s="713" t="str">
        <f>IF(COUNTA(SalCommune[[#This Row],[Nom]:[heures annuelles
selon contrat(s)]])=0,"",SalCommune[[#This Row],[Total global]]-ABS(SalCommune[[#This Row],[Dont non opposable]]))</f>
        <v/>
      </c>
      <c r="AC423" s="8"/>
      <c r="AD423" s="63"/>
      <c r="AE423" s="430"/>
      <c r="AF423" s="430"/>
      <c r="AG423" s="430"/>
      <c r="AH423" s="181"/>
      <c r="AI423" s="194">
        <f>IF(COUNTA(SalCommune[[#This Row],[N°]:[heures annuelles
selon contrat(s)]])=0,"",REVEX!$E$9)</f>
        <v>0</v>
      </c>
      <c r="AJ423" s="72"/>
    </row>
    <row r="424" spans="1:36" x14ac:dyDescent="0.25">
      <c r="A424" s="72"/>
      <c r="B424" s="725" t="str">
        <f>IF(SalCommune[[#This Row],[Matricule]]="","",MAX($B$7:B423)+1)</f>
        <v/>
      </c>
      <c r="C424" s="8"/>
      <c r="D424" s="8"/>
      <c r="E424" s="20"/>
      <c r="F424" s="8"/>
      <c r="G424" s="8"/>
      <c r="H424" s="9"/>
      <c r="I424" s="9"/>
      <c r="J424" s="9"/>
      <c r="K424" s="714"/>
      <c r="L424" s="714"/>
      <c r="M424" s="9"/>
      <c r="N424" s="9"/>
      <c r="O424" s="9"/>
      <c r="P42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4" s="9"/>
      <c r="R424" s="9"/>
      <c r="S424" s="9"/>
      <c r="T424" s="37"/>
      <c r="U424" s="37"/>
      <c r="V424" s="37"/>
      <c r="W424" s="37"/>
      <c r="X424" s="37"/>
      <c r="Y424" s="37"/>
      <c r="Z42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4" s="37"/>
      <c r="AB424" s="713" t="str">
        <f>IF(COUNTA(SalCommune[[#This Row],[Nom]:[heures annuelles
selon contrat(s)]])=0,"",SalCommune[[#This Row],[Total global]]-ABS(SalCommune[[#This Row],[Dont non opposable]]))</f>
        <v/>
      </c>
      <c r="AC424" s="8"/>
      <c r="AD424" s="63"/>
      <c r="AE424" s="430"/>
      <c r="AF424" s="430"/>
      <c r="AG424" s="430"/>
      <c r="AH424" s="181"/>
      <c r="AI424" s="194">
        <f>IF(COUNTA(SalCommune[[#This Row],[N°]:[heures annuelles
selon contrat(s)]])=0,"",REVEX!$E$9)</f>
        <v>0</v>
      </c>
      <c r="AJ424" s="72"/>
    </row>
    <row r="425" spans="1:36" x14ac:dyDescent="0.25">
      <c r="A425" s="72"/>
      <c r="B425" s="725" t="str">
        <f>IF(SalCommune[[#This Row],[Matricule]]="","",MAX($B$7:B424)+1)</f>
        <v/>
      </c>
      <c r="C425" s="8"/>
      <c r="D425" s="8"/>
      <c r="E425" s="20"/>
      <c r="F425" s="8"/>
      <c r="G425" s="8"/>
      <c r="H425" s="9"/>
      <c r="I425" s="9"/>
      <c r="J425" s="9"/>
      <c r="K425" s="714"/>
      <c r="L425" s="714"/>
      <c r="M425" s="9"/>
      <c r="N425" s="9"/>
      <c r="O425" s="9"/>
      <c r="P42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5" s="9"/>
      <c r="R425" s="9"/>
      <c r="S425" s="9"/>
      <c r="T425" s="37"/>
      <c r="U425" s="37"/>
      <c r="V425" s="37"/>
      <c r="W425" s="37"/>
      <c r="X425" s="37"/>
      <c r="Y425" s="37"/>
      <c r="Z42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5" s="37"/>
      <c r="AB425" s="713" t="str">
        <f>IF(COUNTA(SalCommune[[#This Row],[Nom]:[heures annuelles
selon contrat(s)]])=0,"",SalCommune[[#This Row],[Total global]]-ABS(SalCommune[[#This Row],[Dont non opposable]]))</f>
        <v/>
      </c>
      <c r="AC425" s="8"/>
      <c r="AD425" s="63"/>
      <c r="AE425" s="430"/>
      <c r="AF425" s="430"/>
      <c r="AG425" s="430"/>
      <c r="AH425" s="181"/>
      <c r="AI425" s="194">
        <f>IF(COUNTA(SalCommune[[#This Row],[N°]:[heures annuelles
selon contrat(s)]])=0,"",REVEX!$E$9)</f>
        <v>0</v>
      </c>
      <c r="AJ425" s="72"/>
    </row>
    <row r="426" spans="1:36" x14ac:dyDescent="0.25">
      <c r="A426" s="72"/>
      <c r="B426" s="725" t="str">
        <f>IF(SalCommune[[#This Row],[Matricule]]="","",MAX($B$7:B425)+1)</f>
        <v/>
      </c>
      <c r="C426" s="8"/>
      <c r="D426" s="8"/>
      <c r="E426" s="20"/>
      <c r="F426" s="8"/>
      <c r="G426" s="8"/>
      <c r="H426" s="9"/>
      <c r="I426" s="9"/>
      <c r="J426" s="9"/>
      <c r="K426" s="714"/>
      <c r="L426" s="714"/>
      <c r="M426" s="9"/>
      <c r="N426" s="9"/>
      <c r="O426" s="9"/>
      <c r="P42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6" s="9"/>
      <c r="R426" s="9"/>
      <c r="S426" s="9"/>
      <c r="T426" s="37"/>
      <c r="U426" s="37"/>
      <c r="V426" s="37"/>
      <c r="W426" s="37"/>
      <c r="X426" s="37"/>
      <c r="Y426" s="37"/>
      <c r="Z42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6" s="37"/>
      <c r="AB426" s="713" t="str">
        <f>IF(COUNTA(SalCommune[[#This Row],[Nom]:[heures annuelles
selon contrat(s)]])=0,"",SalCommune[[#This Row],[Total global]]-ABS(SalCommune[[#This Row],[Dont non opposable]]))</f>
        <v/>
      </c>
      <c r="AC426" s="8"/>
      <c r="AD426" s="63"/>
      <c r="AE426" s="430"/>
      <c r="AF426" s="430"/>
      <c r="AG426" s="430"/>
      <c r="AH426" s="181"/>
      <c r="AI426" s="194">
        <f>IF(COUNTA(SalCommune[[#This Row],[N°]:[heures annuelles
selon contrat(s)]])=0,"",REVEX!$E$9)</f>
        <v>0</v>
      </c>
      <c r="AJ426" s="72"/>
    </row>
    <row r="427" spans="1:36" x14ac:dyDescent="0.25">
      <c r="A427" s="72"/>
      <c r="B427" s="725" t="str">
        <f>IF(SalCommune[[#This Row],[Matricule]]="","",MAX($B$7:B426)+1)</f>
        <v/>
      </c>
      <c r="C427" s="8"/>
      <c r="D427" s="8"/>
      <c r="E427" s="20"/>
      <c r="F427" s="8"/>
      <c r="G427" s="8"/>
      <c r="H427" s="9"/>
      <c r="I427" s="9"/>
      <c r="J427" s="9"/>
      <c r="K427" s="714"/>
      <c r="L427" s="714"/>
      <c r="M427" s="9"/>
      <c r="N427" s="9"/>
      <c r="O427" s="9"/>
      <c r="P42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7" s="9"/>
      <c r="R427" s="9"/>
      <c r="S427" s="9"/>
      <c r="T427" s="37"/>
      <c r="U427" s="37"/>
      <c r="V427" s="37"/>
      <c r="W427" s="37"/>
      <c r="X427" s="37"/>
      <c r="Y427" s="37"/>
      <c r="Z42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7" s="37"/>
      <c r="AB427" s="713" t="str">
        <f>IF(COUNTA(SalCommune[[#This Row],[Nom]:[heures annuelles
selon contrat(s)]])=0,"",SalCommune[[#This Row],[Total global]]-ABS(SalCommune[[#This Row],[Dont non opposable]]))</f>
        <v/>
      </c>
      <c r="AC427" s="8"/>
      <c r="AD427" s="63"/>
      <c r="AE427" s="430"/>
      <c r="AF427" s="430"/>
      <c r="AG427" s="430"/>
      <c r="AH427" s="181"/>
      <c r="AI427" s="194">
        <f>IF(COUNTA(SalCommune[[#This Row],[N°]:[heures annuelles
selon contrat(s)]])=0,"",REVEX!$E$9)</f>
        <v>0</v>
      </c>
      <c r="AJ427" s="72"/>
    </row>
    <row r="428" spans="1:36" x14ac:dyDescent="0.25">
      <c r="A428" s="72"/>
      <c r="B428" s="725" t="str">
        <f>IF(SalCommune[[#This Row],[Matricule]]="","",MAX($B$7:B427)+1)</f>
        <v/>
      </c>
      <c r="C428" s="8"/>
      <c r="D428" s="8"/>
      <c r="E428" s="20"/>
      <c r="F428" s="8"/>
      <c r="G428" s="8"/>
      <c r="H428" s="9"/>
      <c r="I428" s="9"/>
      <c r="J428" s="9"/>
      <c r="K428" s="714"/>
      <c r="L428" s="714"/>
      <c r="M428" s="9"/>
      <c r="N428" s="9"/>
      <c r="O428" s="9"/>
      <c r="P42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8" s="9"/>
      <c r="R428" s="9"/>
      <c r="S428" s="9"/>
      <c r="T428" s="37"/>
      <c r="U428" s="37"/>
      <c r="V428" s="37"/>
      <c r="W428" s="37"/>
      <c r="X428" s="37"/>
      <c r="Y428" s="37"/>
      <c r="Z42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8" s="37"/>
      <c r="AB428" s="713" t="str">
        <f>IF(COUNTA(SalCommune[[#This Row],[Nom]:[heures annuelles
selon contrat(s)]])=0,"",SalCommune[[#This Row],[Total global]]-ABS(SalCommune[[#This Row],[Dont non opposable]]))</f>
        <v/>
      </c>
      <c r="AC428" s="8"/>
      <c r="AD428" s="63"/>
      <c r="AE428" s="430"/>
      <c r="AF428" s="430"/>
      <c r="AG428" s="430"/>
      <c r="AH428" s="181"/>
      <c r="AI428" s="194">
        <f>IF(COUNTA(SalCommune[[#This Row],[N°]:[heures annuelles
selon contrat(s)]])=0,"",REVEX!$E$9)</f>
        <v>0</v>
      </c>
      <c r="AJ428" s="72"/>
    </row>
    <row r="429" spans="1:36" x14ac:dyDescent="0.25">
      <c r="A429" s="72"/>
      <c r="B429" s="725" t="str">
        <f>IF(SalCommune[[#This Row],[Matricule]]="","",MAX($B$7:B428)+1)</f>
        <v/>
      </c>
      <c r="C429" s="8"/>
      <c r="D429" s="8"/>
      <c r="E429" s="20"/>
      <c r="F429" s="8"/>
      <c r="G429" s="8"/>
      <c r="H429" s="9"/>
      <c r="I429" s="9"/>
      <c r="J429" s="9"/>
      <c r="K429" s="714"/>
      <c r="L429" s="714"/>
      <c r="M429" s="9"/>
      <c r="N429" s="9"/>
      <c r="O429" s="9"/>
      <c r="P42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29" s="9"/>
      <c r="R429" s="9"/>
      <c r="S429" s="9"/>
      <c r="T429" s="37"/>
      <c r="U429" s="37"/>
      <c r="V429" s="37"/>
      <c r="W429" s="37"/>
      <c r="X429" s="37"/>
      <c r="Y429" s="37"/>
      <c r="Z42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29" s="37"/>
      <c r="AB429" s="713" t="str">
        <f>IF(COUNTA(SalCommune[[#This Row],[Nom]:[heures annuelles
selon contrat(s)]])=0,"",SalCommune[[#This Row],[Total global]]-ABS(SalCommune[[#This Row],[Dont non opposable]]))</f>
        <v/>
      </c>
      <c r="AC429" s="8"/>
      <c r="AD429" s="63"/>
      <c r="AE429" s="430"/>
      <c r="AF429" s="430"/>
      <c r="AG429" s="430"/>
      <c r="AH429" s="181"/>
      <c r="AI429" s="194">
        <f>IF(COUNTA(SalCommune[[#This Row],[N°]:[heures annuelles
selon contrat(s)]])=0,"",REVEX!$E$9)</f>
        <v>0</v>
      </c>
      <c r="AJ429" s="72"/>
    </row>
    <row r="430" spans="1:36" x14ac:dyDescent="0.25">
      <c r="A430" s="72"/>
      <c r="B430" s="725" t="str">
        <f>IF(SalCommune[[#This Row],[Matricule]]="","",MAX($B$7:B429)+1)</f>
        <v/>
      </c>
      <c r="C430" s="8"/>
      <c r="D430" s="8"/>
      <c r="E430" s="20"/>
      <c r="F430" s="8"/>
      <c r="G430" s="8"/>
      <c r="H430" s="9"/>
      <c r="I430" s="9"/>
      <c r="J430" s="9"/>
      <c r="K430" s="714"/>
      <c r="L430" s="714"/>
      <c r="M430" s="9"/>
      <c r="N430" s="9"/>
      <c r="O430" s="9"/>
      <c r="P43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0" s="9"/>
      <c r="R430" s="9"/>
      <c r="S430" s="9"/>
      <c r="T430" s="37"/>
      <c r="U430" s="37"/>
      <c r="V430" s="37"/>
      <c r="W430" s="37"/>
      <c r="X430" s="37"/>
      <c r="Y430" s="37"/>
      <c r="Z43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0" s="37"/>
      <c r="AB430" s="713" t="str">
        <f>IF(COUNTA(SalCommune[[#This Row],[Nom]:[heures annuelles
selon contrat(s)]])=0,"",SalCommune[[#This Row],[Total global]]-ABS(SalCommune[[#This Row],[Dont non opposable]]))</f>
        <v/>
      </c>
      <c r="AC430" s="8"/>
      <c r="AD430" s="63"/>
      <c r="AE430" s="430"/>
      <c r="AF430" s="430"/>
      <c r="AG430" s="430"/>
      <c r="AH430" s="181"/>
      <c r="AI430" s="194">
        <f>IF(COUNTA(SalCommune[[#This Row],[N°]:[heures annuelles
selon contrat(s)]])=0,"",REVEX!$E$9)</f>
        <v>0</v>
      </c>
      <c r="AJ430" s="72"/>
    </row>
    <row r="431" spans="1:36" x14ac:dyDescent="0.25">
      <c r="A431" s="72"/>
      <c r="B431" s="725" t="str">
        <f>IF(SalCommune[[#This Row],[Matricule]]="","",MAX($B$7:B430)+1)</f>
        <v/>
      </c>
      <c r="C431" s="8"/>
      <c r="D431" s="8"/>
      <c r="E431" s="20"/>
      <c r="F431" s="8"/>
      <c r="G431" s="8"/>
      <c r="H431" s="9"/>
      <c r="I431" s="9"/>
      <c r="J431" s="9"/>
      <c r="K431" s="714"/>
      <c r="L431" s="714"/>
      <c r="M431" s="9"/>
      <c r="N431" s="9"/>
      <c r="O431" s="9"/>
      <c r="P43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1" s="9"/>
      <c r="R431" s="9"/>
      <c r="S431" s="9"/>
      <c r="T431" s="37"/>
      <c r="U431" s="37"/>
      <c r="V431" s="37"/>
      <c r="W431" s="37"/>
      <c r="X431" s="37"/>
      <c r="Y431" s="37"/>
      <c r="Z43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1" s="37"/>
      <c r="AB431" s="713" t="str">
        <f>IF(COUNTA(SalCommune[[#This Row],[Nom]:[heures annuelles
selon contrat(s)]])=0,"",SalCommune[[#This Row],[Total global]]-ABS(SalCommune[[#This Row],[Dont non opposable]]))</f>
        <v/>
      </c>
      <c r="AC431" s="8"/>
      <c r="AD431" s="63"/>
      <c r="AE431" s="430"/>
      <c r="AF431" s="430"/>
      <c r="AG431" s="430"/>
      <c r="AH431" s="181"/>
      <c r="AI431" s="194">
        <f>IF(COUNTA(SalCommune[[#This Row],[N°]:[heures annuelles
selon contrat(s)]])=0,"",REVEX!$E$9)</f>
        <v>0</v>
      </c>
      <c r="AJ431" s="72"/>
    </row>
    <row r="432" spans="1:36" x14ac:dyDescent="0.25">
      <c r="A432" s="72"/>
      <c r="B432" s="725" t="str">
        <f>IF(SalCommune[[#This Row],[Matricule]]="","",MAX($B$7:B431)+1)</f>
        <v/>
      </c>
      <c r="C432" s="8"/>
      <c r="D432" s="8"/>
      <c r="E432" s="20"/>
      <c r="F432" s="8"/>
      <c r="G432" s="8"/>
      <c r="H432" s="9"/>
      <c r="I432" s="9"/>
      <c r="J432" s="9"/>
      <c r="K432" s="714"/>
      <c r="L432" s="714"/>
      <c r="M432" s="9"/>
      <c r="N432" s="9"/>
      <c r="O432" s="9"/>
      <c r="P43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2" s="9"/>
      <c r="R432" s="9"/>
      <c r="S432" s="9"/>
      <c r="T432" s="37"/>
      <c r="U432" s="37"/>
      <c r="V432" s="37"/>
      <c r="W432" s="37"/>
      <c r="X432" s="37"/>
      <c r="Y432" s="37"/>
      <c r="Z43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2" s="37"/>
      <c r="AB432" s="713" t="str">
        <f>IF(COUNTA(SalCommune[[#This Row],[Nom]:[heures annuelles
selon contrat(s)]])=0,"",SalCommune[[#This Row],[Total global]]-ABS(SalCommune[[#This Row],[Dont non opposable]]))</f>
        <v/>
      </c>
      <c r="AC432" s="8"/>
      <c r="AD432" s="63"/>
      <c r="AE432" s="430"/>
      <c r="AF432" s="430"/>
      <c r="AG432" s="430"/>
      <c r="AH432" s="181"/>
      <c r="AI432" s="194">
        <f>IF(COUNTA(SalCommune[[#This Row],[N°]:[heures annuelles
selon contrat(s)]])=0,"",REVEX!$E$9)</f>
        <v>0</v>
      </c>
      <c r="AJ432" s="72"/>
    </row>
    <row r="433" spans="1:36" x14ac:dyDescent="0.25">
      <c r="A433" s="72"/>
      <c r="B433" s="725" t="str">
        <f>IF(SalCommune[[#This Row],[Matricule]]="","",MAX($B$7:B432)+1)</f>
        <v/>
      </c>
      <c r="C433" s="8"/>
      <c r="D433" s="8"/>
      <c r="E433" s="20"/>
      <c r="F433" s="8"/>
      <c r="G433" s="8"/>
      <c r="H433" s="9"/>
      <c r="I433" s="9"/>
      <c r="J433" s="9"/>
      <c r="K433" s="714"/>
      <c r="L433" s="714"/>
      <c r="M433" s="9"/>
      <c r="N433" s="9"/>
      <c r="O433" s="9"/>
      <c r="P43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3" s="9"/>
      <c r="R433" s="9"/>
      <c r="S433" s="9"/>
      <c r="T433" s="37"/>
      <c r="U433" s="37"/>
      <c r="V433" s="37"/>
      <c r="W433" s="37"/>
      <c r="X433" s="37"/>
      <c r="Y433" s="37"/>
      <c r="Z43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3" s="37"/>
      <c r="AB433" s="713" t="str">
        <f>IF(COUNTA(SalCommune[[#This Row],[Nom]:[heures annuelles
selon contrat(s)]])=0,"",SalCommune[[#This Row],[Total global]]-ABS(SalCommune[[#This Row],[Dont non opposable]]))</f>
        <v/>
      </c>
      <c r="AC433" s="8"/>
      <c r="AD433" s="63"/>
      <c r="AE433" s="430"/>
      <c r="AF433" s="430"/>
      <c r="AG433" s="430"/>
      <c r="AH433" s="181"/>
      <c r="AI433" s="194">
        <f>IF(COUNTA(SalCommune[[#This Row],[N°]:[heures annuelles
selon contrat(s)]])=0,"",REVEX!$E$9)</f>
        <v>0</v>
      </c>
      <c r="AJ433" s="72"/>
    </row>
    <row r="434" spans="1:36" x14ac:dyDescent="0.25">
      <c r="A434" s="72"/>
      <c r="B434" s="725" t="str">
        <f>IF(SalCommune[[#This Row],[Matricule]]="","",MAX($B$7:B433)+1)</f>
        <v/>
      </c>
      <c r="C434" s="8"/>
      <c r="D434" s="8"/>
      <c r="E434" s="20"/>
      <c r="F434" s="8"/>
      <c r="G434" s="8"/>
      <c r="H434" s="9"/>
      <c r="I434" s="9"/>
      <c r="J434" s="9"/>
      <c r="K434" s="714"/>
      <c r="L434" s="714"/>
      <c r="M434" s="9"/>
      <c r="N434" s="9"/>
      <c r="O434" s="9"/>
      <c r="P43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4" s="9"/>
      <c r="R434" s="9"/>
      <c r="S434" s="9"/>
      <c r="T434" s="37"/>
      <c r="U434" s="37"/>
      <c r="V434" s="37"/>
      <c r="W434" s="37"/>
      <c r="X434" s="37"/>
      <c r="Y434" s="37"/>
      <c r="Z43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4" s="37"/>
      <c r="AB434" s="713" t="str">
        <f>IF(COUNTA(SalCommune[[#This Row],[Nom]:[heures annuelles
selon contrat(s)]])=0,"",SalCommune[[#This Row],[Total global]]-ABS(SalCommune[[#This Row],[Dont non opposable]]))</f>
        <v/>
      </c>
      <c r="AC434" s="8"/>
      <c r="AD434" s="63"/>
      <c r="AE434" s="430"/>
      <c r="AF434" s="430"/>
      <c r="AG434" s="430"/>
      <c r="AH434" s="181"/>
      <c r="AI434" s="194">
        <f>IF(COUNTA(SalCommune[[#This Row],[N°]:[heures annuelles
selon contrat(s)]])=0,"",REVEX!$E$9)</f>
        <v>0</v>
      </c>
      <c r="AJ434" s="72"/>
    </row>
    <row r="435" spans="1:36" x14ac:dyDescent="0.25">
      <c r="A435" s="72"/>
      <c r="B435" s="725" t="str">
        <f>IF(SalCommune[[#This Row],[Matricule]]="","",MAX($B$7:B434)+1)</f>
        <v/>
      </c>
      <c r="C435" s="8"/>
      <c r="D435" s="8"/>
      <c r="E435" s="20"/>
      <c r="F435" s="8"/>
      <c r="G435" s="8"/>
      <c r="H435" s="9"/>
      <c r="I435" s="9"/>
      <c r="J435" s="9"/>
      <c r="K435" s="714"/>
      <c r="L435" s="714"/>
      <c r="M435" s="9"/>
      <c r="N435" s="9"/>
      <c r="O435" s="9"/>
      <c r="P43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5" s="9"/>
      <c r="R435" s="9"/>
      <c r="S435" s="9"/>
      <c r="T435" s="37"/>
      <c r="U435" s="37"/>
      <c r="V435" s="37"/>
      <c r="W435" s="37"/>
      <c r="X435" s="37"/>
      <c r="Y435" s="37"/>
      <c r="Z43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5" s="37"/>
      <c r="AB435" s="713" t="str">
        <f>IF(COUNTA(SalCommune[[#This Row],[Nom]:[heures annuelles
selon contrat(s)]])=0,"",SalCommune[[#This Row],[Total global]]-ABS(SalCommune[[#This Row],[Dont non opposable]]))</f>
        <v/>
      </c>
      <c r="AC435" s="8"/>
      <c r="AD435" s="63"/>
      <c r="AE435" s="430"/>
      <c r="AF435" s="430"/>
      <c r="AG435" s="430"/>
      <c r="AH435" s="181"/>
      <c r="AI435" s="194">
        <f>IF(COUNTA(SalCommune[[#This Row],[N°]:[heures annuelles
selon contrat(s)]])=0,"",REVEX!$E$9)</f>
        <v>0</v>
      </c>
      <c r="AJ435" s="72"/>
    </row>
    <row r="436" spans="1:36" x14ac:dyDescent="0.25">
      <c r="A436" s="72"/>
      <c r="B436" s="725" t="str">
        <f>IF(SalCommune[[#This Row],[Matricule]]="","",MAX($B$7:B435)+1)</f>
        <v/>
      </c>
      <c r="C436" s="8"/>
      <c r="D436" s="8"/>
      <c r="E436" s="20"/>
      <c r="F436" s="8"/>
      <c r="G436" s="8"/>
      <c r="H436" s="9"/>
      <c r="I436" s="9"/>
      <c r="J436" s="9"/>
      <c r="K436" s="714"/>
      <c r="L436" s="714"/>
      <c r="M436" s="9"/>
      <c r="N436" s="9"/>
      <c r="O436" s="9"/>
      <c r="P43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6" s="9"/>
      <c r="R436" s="9"/>
      <c r="S436" s="9"/>
      <c r="T436" s="37"/>
      <c r="U436" s="37"/>
      <c r="V436" s="37"/>
      <c r="W436" s="37"/>
      <c r="X436" s="37"/>
      <c r="Y436" s="37"/>
      <c r="Z43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6" s="37"/>
      <c r="AB436" s="713" t="str">
        <f>IF(COUNTA(SalCommune[[#This Row],[Nom]:[heures annuelles
selon contrat(s)]])=0,"",SalCommune[[#This Row],[Total global]]-ABS(SalCommune[[#This Row],[Dont non opposable]]))</f>
        <v/>
      </c>
      <c r="AC436" s="8"/>
      <c r="AD436" s="63"/>
      <c r="AE436" s="430"/>
      <c r="AF436" s="430"/>
      <c r="AG436" s="430"/>
      <c r="AH436" s="181"/>
      <c r="AI436" s="194">
        <f>IF(COUNTA(SalCommune[[#This Row],[N°]:[heures annuelles
selon contrat(s)]])=0,"",REVEX!$E$9)</f>
        <v>0</v>
      </c>
      <c r="AJ436" s="72"/>
    </row>
    <row r="437" spans="1:36" x14ac:dyDescent="0.25">
      <c r="A437" s="72"/>
      <c r="B437" s="725" t="str">
        <f>IF(SalCommune[[#This Row],[Matricule]]="","",MAX($B$7:B436)+1)</f>
        <v/>
      </c>
      <c r="C437" s="8"/>
      <c r="D437" s="8"/>
      <c r="E437" s="20"/>
      <c r="F437" s="8"/>
      <c r="G437" s="8"/>
      <c r="H437" s="9"/>
      <c r="I437" s="9"/>
      <c r="J437" s="9"/>
      <c r="K437" s="714"/>
      <c r="L437" s="714"/>
      <c r="M437" s="9"/>
      <c r="N437" s="9"/>
      <c r="O437" s="9"/>
      <c r="P43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7" s="9"/>
      <c r="R437" s="9"/>
      <c r="S437" s="9"/>
      <c r="T437" s="37"/>
      <c r="U437" s="37"/>
      <c r="V437" s="37"/>
      <c r="W437" s="37"/>
      <c r="X437" s="37"/>
      <c r="Y437" s="37"/>
      <c r="Z43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7" s="37"/>
      <c r="AB437" s="713" t="str">
        <f>IF(COUNTA(SalCommune[[#This Row],[Nom]:[heures annuelles
selon contrat(s)]])=0,"",SalCommune[[#This Row],[Total global]]-ABS(SalCommune[[#This Row],[Dont non opposable]]))</f>
        <v/>
      </c>
      <c r="AC437" s="8"/>
      <c r="AD437" s="63"/>
      <c r="AE437" s="430"/>
      <c r="AF437" s="430"/>
      <c r="AG437" s="430"/>
      <c r="AH437" s="181"/>
      <c r="AI437" s="194">
        <f>IF(COUNTA(SalCommune[[#This Row],[N°]:[heures annuelles
selon contrat(s)]])=0,"",REVEX!$E$9)</f>
        <v>0</v>
      </c>
      <c r="AJ437" s="72"/>
    </row>
    <row r="438" spans="1:36" x14ac:dyDescent="0.25">
      <c r="A438" s="72"/>
      <c r="B438" s="725" t="str">
        <f>IF(SalCommune[[#This Row],[Matricule]]="","",MAX($B$7:B437)+1)</f>
        <v/>
      </c>
      <c r="C438" s="8"/>
      <c r="D438" s="8"/>
      <c r="E438" s="20"/>
      <c r="F438" s="8"/>
      <c r="G438" s="8"/>
      <c r="H438" s="9"/>
      <c r="I438" s="9"/>
      <c r="J438" s="9"/>
      <c r="K438" s="714"/>
      <c r="L438" s="714"/>
      <c r="M438" s="9"/>
      <c r="N438" s="9"/>
      <c r="O438" s="9"/>
      <c r="P43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8" s="9"/>
      <c r="R438" s="9"/>
      <c r="S438" s="9"/>
      <c r="T438" s="37"/>
      <c r="U438" s="37"/>
      <c r="V438" s="37"/>
      <c r="W438" s="37"/>
      <c r="X438" s="37"/>
      <c r="Y438" s="37"/>
      <c r="Z43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8" s="37"/>
      <c r="AB438" s="713" t="str">
        <f>IF(COUNTA(SalCommune[[#This Row],[Nom]:[heures annuelles
selon contrat(s)]])=0,"",SalCommune[[#This Row],[Total global]]-ABS(SalCommune[[#This Row],[Dont non opposable]]))</f>
        <v/>
      </c>
      <c r="AC438" s="8"/>
      <c r="AD438" s="63"/>
      <c r="AE438" s="430"/>
      <c r="AF438" s="430"/>
      <c r="AG438" s="430"/>
      <c r="AH438" s="181"/>
      <c r="AI438" s="194">
        <f>IF(COUNTA(SalCommune[[#This Row],[N°]:[heures annuelles
selon contrat(s)]])=0,"",REVEX!$E$9)</f>
        <v>0</v>
      </c>
      <c r="AJ438" s="72"/>
    </row>
    <row r="439" spans="1:36" x14ac:dyDescent="0.25">
      <c r="A439" s="72"/>
      <c r="B439" s="725" t="str">
        <f>IF(SalCommune[[#This Row],[Matricule]]="","",MAX($B$7:B438)+1)</f>
        <v/>
      </c>
      <c r="C439" s="8"/>
      <c r="D439" s="8"/>
      <c r="E439" s="20"/>
      <c r="F439" s="8"/>
      <c r="G439" s="8"/>
      <c r="H439" s="9"/>
      <c r="I439" s="9"/>
      <c r="J439" s="9"/>
      <c r="K439" s="714"/>
      <c r="L439" s="714"/>
      <c r="M439" s="9"/>
      <c r="N439" s="9"/>
      <c r="O439" s="9"/>
      <c r="P43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39" s="9"/>
      <c r="R439" s="9"/>
      <c r="S439" s="9"/>
      <c r="T439" s="37"/>
      <c r="U439" s="37"/>
      <c r="V439" s="37"/>
      <c r="W439" s="37"/>
      <c r="X439" s="37"/>
      <c r="Y439" s="37"/>
      <c r="Z43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39" s="37"/>
      <c r="AB439" s="713" t="str">
        <f>IF(COUNTA(SalCommune[[#This Row],[Nom]:[heures annuelles
selon contrat(s)]])=0,"",SalCommune[[#This Row],[Total global]]-ABS(SalCommune[[#This Row],[Dont non opposable]]))</f>
        <v/>
      </c>
      <c r="AC439" s="8"/>
      <c r="AD439" s="63"/>
      <c r="AE439" s="430"/>
      <c r="AF439" s="430"/>
      <c r="AG439" s="430"/>
      <c r="AH439" s="181"/>
      <c r="AI439" s="194">
        <f>IF(COUNTA(SalCommune[[#This Row],[N°]:[heures annuelles
selon contrat(s)]])=0,"",REVEX!$E$9)</f>
        <v>0</v>
      </c>
      <c r="AJ439" s="72"/>
    </row>
    <row r="440" spans="1:36" x14ac:dyDescent="0.25">
      <c r="A440" s="72"/>
      <c r="B440" s="725" t="str">
        <f>IF(SalCommune[[#This Row],[Matricule]]="","",MAX($B$7:B439)+1)</f>
        <v/>
      </c>
      <c r="C440" s="8"/>
      <c r="D440" s="8"/>
      <c r="E440" s="20"/>
      <c r="F440" s="8"/>
      <c r="G440" s="8"/>
      <c r="H440" s="9"/>
      <c r="I440" s="9"/>
      <c r="J440" s="9"/>
      <c r="K440" s="714"/>
      <c r="L440" s="714"/>
      <c r="M440" s="9"/>
      <c r="N440" s="9"/>
      <c r="O440" s="9"/>
      <c r="P44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0" s="9"/>
      <c r="R440" s="9"/>
      <c r="S440" s="9"/>
      <c r="T440" s="37"/>
      <c r="U440" s="37"/>
      <c r="V440" s="37"/>
      <c r="W440" s="37"/>
      <c r="X440" s="37"/>
      <c r="Y440" s="37"/>
      <c r="Z44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0" s="37"/>
      <c r="AB440" s="713" t="str">
        <f>IF(COUNTA(SalCommune[[#This Row],[Nom]:[heures annuelles
selon contrat(s)]])=0,"",SalCommune[[#This Row],[Total global]]-ABS(SalCommune[[#This Row],[Dont non opposable]]))</f>
        <v/>
      </c>
      <c r="AC440" s="8"/>
      <c r="AD440" s="63"/>
      <c r="AE440" s="430"/>
      <c r="AF440" s="430"/>
      <c r="AG440" s="430"/>
      <c r="AH440" s="181"/>
      <c r="AI440" s="194">
        <f>IF(COUNTA(SalCommune[[#This Row],[N°]:[heures annuelles
selon contrat(s)]])=0,"",REVEX!$E$9)</f>
        <v>0</v>
      </c>
      <c r="AJ440" s="72"/>
    </row>
    <row r="441" spans="1:36" x14ac:dyDescent="0.25">
      <c r="A441" s="72"/>
      <c r="B441" s="725" t="str">
        <f>IF(SalCommune[[#This Row],[Matricule]]="","",MAX($B$7:B440)+1)</f>
        <v/>
      </c>
      <c r="C441" s="8"/>
      <c r="D441" s="8"/>
      <c r="E441" s="20"/>
      <c r="F441" s="8"/>
      <c r="G441" s="8"/>
      <c r="H441" s="9"/>
      <c r="I441" s="9"/>
      <c r="J441" s="9"/>
      <c r="K441" s="714"/>
      <c r="L441" s="714"/>
      <c r="M441" s="9"/>
      <c r="N441" s="9"/>
      <c r="O441" s="9"/>
      <c r="P44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1" s="9"/>
      <c r="R441" s="9"/>
      <c r="S441" s="9"/>
      <c r="T441" s="37"/>
      <c r="U441" s="37"/>
      <c r="V441" s="37"/>
      <c r="W441" s="37"/>
      <c r="X441" s="37"/>
      <c r="Y441" s="37"/>
      <c r="Z44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1" s="37"/>
      <c r="AB441" s="713" t="str">
        <f>IF(COUNTA(SalCommune[[#This Row],[Nom]:[heures annuelles
selon contrat(s)]])=0,"",SalCommune[[#This Row],[Total global]]-ABS(SalCommune[[#This Row],[Dont non opposable]]))</f>
        <v/>
      </c>
      <c r="AC441" s="8"/>
      <c r="AD441" s="63"/>
      <c r="AE441" s="430"/>
      <c r="AF441" s="430"/>
      <c r="AG441" s="430"/>
      <c r="AH441" s="181"/>
      <c r="AI441" s="194">
        <f>IF(COUNTA(SalCommune[[#This Row],[N°]:[heures annuelles
selon contrat(s)]])=0,"",REVEX!$E$9)</f>
        <v>0</v>
      </c>
      <c r="AJ441" s="72"/>
    </row>
    <row r="442" spans="1:36" x14ac:dyDescent="0.25">
      <c r="A442" s="72"/>
      <c r="B442" s="725" t="str">
        <f>IF(SalCommune[[#This Row],[Matricule]]="","",MAX($B$7:B441)+1)</f>
        <v/>
      </c>
      <c r="C442" s="8"/>
      <c r="D442" s="8"/>
      <c r="E442" s="20"/>
      <c r="F442" s="8"/>
      <c r="G442" s="8"/>
      <c r="H442" s="9"/>
      <c r="I442" s="9"/>
      <c r="J442" s="9"/>
      <c r="K442" s="714"/>
      <c r="L442" s="714"/>
      <c r="M442" s="9"/>
      <c r="N442" s="9"/>
      <c r="O442" s="9"/>
      <c r="P44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2" s="9"/>
      <c r="R442" s="9"/>
      <c r="S442" s="9"/>
      <c r="T442" s="37"/>
      <c r="U442" s="37"/>
      <c r="V442" s="37"/>
      <c r="W442" s="37"/>
      <c r="X442" s="37"/>
      <c r="Y442" s="37"/>
      <c r="Z44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2" s="37"/>
      <c r="AB442" s="713" t="str">
        <f>IF(COUNTA(SalCommune[[#This Row],[Nom]:[heures annuelles
selon contrat(s)]])=0,"",SalCommune[[#This Row],[Total global]]-ABS(SalCommune[[#This Row],[Dont non opposable]]))</f>
        <v/>
      </c>
      <c r="AC442" s="8"/>
      <c r="AD442" s="63"/>
      <c r="AE442" s="430"/>
      <c r="AF442" s="430"/>
      <c r="AG442" s="430"/>
      <c r="AH442" s="181"/>
      <c r="AI442" s="194">
        <f>IF(COUNTA(SalCommune[[#This Row],[N°]:[heures annuelles
selon contrat(s)]])=0,"",REVEX!$E$9)</f>
        <v>0</v>
      </c>
      <c r="AJ442" s="72"/>
    </row>
    <row r="443" spans="1:36" x14ac:dyDescent="0.25">
      <c r="A443" s="72"/>
      <c r="B443" s="725" t="str">
        <f>IF(SalCommune[[#This Row],[Matricule]]="","",MAX($B$7:B442)+1)</f>
        <v/>
      </c>
      <c r="C443" s="8"/>
      <c r="D443" s="8"/>
      <c r="E443" s="20"/>
      <c r="F443" s="8"/>
      <c r="G443" s="8"/>
      <c r="H443" s="9"/>
      <c r="I443" s="9"/>
      <c r="J443" s="9"/>
      <c r="K443" s="714"/>
      <c r="L443" s="714"/>
      <c r="M443" s="9"/>
      <c r="N443" s="9"/>
      <c r="O443" s="9"/>
      <c r="P44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3" s="9"/>
      <c r="R443" s="9"/>
      <c r="S443" s="9"/>
      <c r="T443" s="37"/>
      <c r="U443" s="37"/>
      <c r="V443" s="37"/>
      <c r="W443" s="37"/>
      <c r="X443" s="37"/>
      <c r="Y443" s="37"/>
      <c r="Z44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3" s="37"/>
      <c r="AB443" s="713" t="str">
        <f>IF(COUNTA(SalCommune[[#This Row],[Nom]:[heures annuelles
selon contrat(s)]])=0,"",SalCommune[[#This Row],[Total global]]-ABS(SalCommune[[#This Row],[Dont non opposable]]))</f>
        <v/>
      </c>
      <c r="AC443" s="8"/>
      <c r="AD443" s="63"/>
      <c r="AE443" s="430"/>
      <c r="AF443" s="430"/>
      <c r="AG443" s="430"/>
      <c r="AH443" s="181"/>
      <c r="AI443" s="194">
        <f>IF(COUNTA(SalCommune[[#This Row],[N°]:[heures annuelles
selon contrat(s)]])=0,"",REVEX!$E$9)</f>
        <v>0</v>
      </c>
      <c r="AJ443" s="72"/>
    </row>
    <row r="444" spans="1:36" x14ac:dyDescent="0.25">
      <c r="A444" s="72"/>
      <c r="B444" s="725" t="str">
        <f>IF(SalCommune[[#This Row],[Matricule]]="","",MAX($B$7:B443)+1)</f>
        <v/>
      </c>
      <c r="C444" s="8"/>
      <c r="D444" s="8"/>
      <c r="E444" s="20"/>
      <c r="F444" s="8"/>
      <c r="G444" s="8"/>
      <c r="H444" s="9"/>
      <c r="I444" s="9"/>
      <c r="J444" s="9"/>
      <c r="K444" s="714"/>
      <c r="L444" s="714"/>
      <c r="M444" s="9"/>
      <c r="N444" s="9"/>
      <c r="O444" s="9"/>
      <c r="P44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4" s="9"/>
      <c r="R444" s="9"/>
      <c r="S444" s="9"/>
      <c r="T444" s="37"/>
      <c r="U444" s="37"/>
      <c r="V444" s="37"/>
      <c r="W444" s="37"/>
      <c r="X444" s="37"/>
      <c r="Y444" s="37"/>
      <c r="Z44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4" s="37"/>
      <c r="AB444" s="713" t="str">
        <f>IF(COUNTA(SalCommune[[#This Row],[Nom]:[heures annuelles
selon contrat(s)]])=0,"",SalCommune[[#This Row],[Total global]]-ABS(SalCommune[[#This Row],[Dont non opposable]]))</f>
        <v/>
      </c>
      <c r="AC444" s="8"/>
      <c r="AD444" s="63"/>
      <c r="AE444" s="430"/>
      <c r="AF444" s="430"/>
      <c r="AG444" s="430"/>
      <c r="AH444" s="181"/>
      <c r="AI444" s="194">
        <f>IF(COUNTA(SalCommune[[#This Row],[N°]:[heures annuelles
selon contrat(s)]])=0,"",REVEX!$E$9)</f>
        <v>0</v>
      </c>
      <c r="AJ444" s="72"/>
    </row>
    <row r="445" spans="1:36" x14ac:dyDescent="0.25">
      <c r="A445" s="72"/>
      <c r="B445" s="725" t="str">
        <f>IF(SalCommune[[#This Row],[Matricule]]="","",MAX($B$7:B444)+1)</f>
        <v/>
      </c>
      <c r="C445" s="8"/>
      <c r="D445" s="8"/>
      <c r="E445" s="20"/>
      <c r="F445" s="8"/>
      <c r="G445" s="8"/>
      <c r="H445" s="9"/>
      <c r="I445" s="9"/>
      <c r="J445" s="9"/>
      <c r="K445" s="714"/>
      <c r="L445" s="714"/>
      <c r="M445" s="9"/>
      <c r="N445" s="9"/>
      <c r="O445" s="9"/>
      <c r="P44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5" s="9"/>
      <c r="R445" s="9"/>
      <c r="S445" s="9"/>
      <c r="T445" s="37"/>
      <c r="U445" s="37"/>
      <c r="V445" s="37"/>
      <c r="W445" s="37"/>
      <c r="X445" s="37"/>
      <c r="Y445" s="37"/>
      <c r="Z44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5" s="37"/>
      <c r="AB445" s="713" t="str">
        <f>IF(COUNTA(SalCommune[[#This Row],[Nom]:[heures annuelles
selon contrat(s)]])=0,"",SalCommune[[#This Row],[Total global]]-ABS(SalCommune[[#This Row],[Dont non opposable]]))</f>
        <v/>
      </c>
      <c r="AC445" s="8"/>
      <c r="AD445" s="63"/>
      <c r="AE445" s="430"/>
      <c r="AF445" s="430"/>
      <c r="AG445" s="430"/>
      <c r="AH445" s="181"/>
      <c r="AI445" s="194">
        <f>IF(COUNTA(SalCommune[[#This Row],[N°]:[heures annuelles
selon contrat(s)]])=0,"",REVEX!$E$9)</f>
        <v>0</v>
      </c>
      <c r="AJ445" s="72"/>
    </row>
    <row r="446" spans="1:36" x14ac:dyDescent="0.25">
      <c r="A446" s="72"/>
      <c r="B446" s="725" t="str">
        <f>IF(SalCommune[[#This Row],[Matricule]]="","",MAX($B$7:B445)+1)</f>
        <v/>
      </c>
      <c r="C446" s="8"/>
      <c r="D446" s="8"/>
      <c r="E446" s="20"/>
      <c r="F446" s="8"/>
      <c r="G446" s="8"/>
      <c r="H446" s="9"/>
      <c r="I446" s="9"/>
      <c r="J446" s="9"/>
      <c r="K446" s="714"/>
      <c r="L446" s="714"/>
      <c r="M446" s="9"/>
      <c r="N446" s="9"/>
      <c r="O446" s="9"/>
      <c r="P44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6" s="9"/>
      <c r="R446" s="9"/>
      <c r="S446" s="9"/>
      <c r="T446" s="37"/>
      <c r="U446" s="37"/>
      <c r="V446" s="37"/>
      <c r="W446" s="37"/>
      <c r="X446" s="37"/>
      <c r="Y446" s="37"/>
      <c r="Z44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6" s="37"/>
      <c r="AB446" s="713" t="str">
        <f>IF(COUNTA(SalCommune[[#This Row],[Nom]:[heures annuelles
selon contrat(s)]])=0,"",SalCommune[[#This Row],[Total global]]-ABS(SalCommune[[#This Row],[Dont non opposable]]))</f>
        <v/>
      </c>
      <c r="AC446" s="8"/>
      <c r="AD446" s="63"/>
      <c r="AE446" s="430"/>
      <c r="AF446" s="430"/>
      <c r="AG446" s="430"/>
      <c r="AH446" s="181"/>
      <c r="AI446" s="194">
        <f>IF(COUNTA(SalCommune[[#This Row],[N°]:[heures annuelles
selon contrat(s)]])=0,"",REVEX!$E$9)</f>
        <v>0</v>
      </c>
      <c r="AJ446" s="72"/>
    </row>
    <row r="447" spans="1:36" x14ac:dyDescent="0.25">
      <c r="A447" s="72"/>
      <c r="B447" s="725" t="str">
        <f>IF(SalCommune[[#This Row],[Matricule]]="","",MAX($B$7:B446)+1)</f>
        <v/>
      </c>
      <c r="C447" s="8"/>
      <c r="D447" s="8"/>
      <c r="E447" s="20"/>
      <c r="F447" s="8"/>
      <c r="G447" s="8"/>
      <c r="H447" s="9"/>
      <c r="I447" s="9"/>
      <c r="J447" s="9"/>
      <c r="K447" s="714"/>
      <c r="L447" s="714"/>
      <c r="M447" s="9"/>
      <c r="N447" s="9"/>
      <c r="O447" s="9"/>
      <c r="P44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7" s="9"/>
      <c r="R447" s="9"/>
      <c r="S447" s="9"/>
      <c r="T447" s="37"/>
      <c r="U447" s="37"/>
      <c r="V447" s="37"/>
      <c r="W447" s="37"/>
      <c r="X447" s="37"/>
      <c r="Y447" s="37"/>
      <c r="Z44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7" s="37"/>
      <c r="AB447" s="713" t="str">
        <f>IF(COUNTA(SalCommune[[#This Row],[Nom]:[heures annuelles
selon contrat(s)]])=0,"",SalCommune[[#This Row],[Total global]]-ABS(SalCommune[[#This Row],[Dont non opposable]]))</f>
        <v/>
      </c>
      <c r="AC447" s="8"/>
      <c r="AD447" s="63"/>
      <c r="AE447" s="430"/>
      <c r="AF447" s="430"/>
      <c r="AG447" s="430"/>
      <c r="AH447" s="181"/>
      <c r="AI447" s="194">
        <f>IF(COUNTA(SalCommune[[#This Row],[N°]:[heures annuelles
selon contrat(s)]])=0,"",REVEX!$E$9)</f>
        <v>0</v>
      </c>
      <c r="AJ447" s="72"/>
    </row>
    <row r="448" spans="1:36" x14ac:dyDescent="0.25">
      <c r="A448" s="72"/>
      <c r="B448" s="725" t="str">
        <f>IF(SalCommune[[#This Row],[Matricule]]="","",MAX($B$7:B447)+1)</f>
        <v/>
      </c>
      <c r="C448" s="8"/>
      <c r="D448" s="8"/>
      <c r="E448" s="20"/>
      <c r="F448" s="8"/>
      <c r="G448" s="8"/>
      <c r="H448" s="9"/>
      <c r="I448" s="9"/>
      <c r="J448" s="9"/>
      <c r="K448" s="714"/>
      <c r="L448" s="714"/>
      <c r="M448" s="9"/>
      <c r="N448" s="9"/>
      <c r="O448" s="9"/>
      <c r="P44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8" s="9"/>
      <c r="R448" s="9"/>
      <c r="S448" s="9"/>
      <c r="T448" s="37"/>
      <c r="U448" s="37"/>
      <c r="V448" s="37"/>
      <c r="W448" s="37"/>
      <c r="X448" s="37"/>
      <c r="Y448" s="37"/>
      <c r="Z44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8" s="37"/>
      <c r="AB448" s="713" t="str">
        <f>IF(COUNTA(SalCommune[[#This Row],[Nom]:[heures annuelles
selon contrat(s)]])=0,"",SalCommune[[#This Row],[Total global]]-ABS(SalCommune[[#This Row],[Dont non opposable]]))</f>
        <v/>
      </c>
      <c r="AC448" s="8"/>
      <c r="AD448" s="63"/>
      <c r="AE448" s="430"/>
      <c r="AF448" s="430"/>
      <c r="AG448" s="430"/>
      <c r="AH448" s="181"/>
      <c r="AI448" s="194">
        <f>IF(COUNTA(SalCommune[[#This Row],[N°]:[heures annuelles
selon contrat(s)]])=0,"",REVEX!$E$9)</f>
        <v>0</v>
      </c>
      <c r="AJ448" s="72"/>
    </row>
    <row r="449" spans="1:36" x14ac:dyDescent="0.25">
      <c r="A449" s="72"/>
      <c r="B449" s="725" t="str">
        <f>IF(SalCommune[[#This Row],[Matricule]]="","",MAX($B$7:B448)+1)</f>
        <v/>
      </c>
      <c r="C449" s="8"/>
      <c r="D449" s="8"/>
      <c r="E449" s="20"/>
      <c r="F449" s="8"/>
      <c r="G449" s="8"/>
      <c r="H449" s="9"/>
      <c r="I449" s="9"/>
      <c r="J449" s="9"/>
      <c r="K449" s="714"/>
      <c r="L449" s="714"/>
      <c r="M449" s="9"/>
      <c r="N449" s="9"/>
      <c r="O449" s="9"/>
      <c r="P44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49" s="9"/>
      <c r="R449" s="9"/>
      <c r="S449" s="9"/>
      <c r="T449" s="37"/>
      <c r="U449" s="37"/>
      <c r="V449" s="37"/>
      <c r="W449" s="37"/>
      <c r="X449" s="37"/>
      <c r="Y449" s="37"/>
      <c r="Z44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49" s="37"/>
      <c r="AB449" s="713" t="str">
        <f>IF(COUNTA(SalCommune[[#This Row],[Nom]:[heures annuelles
selon contrat(s)]])=0,"",SalCommune[[#This Row],[Total global]]-ABS(SalCommune[[#This Row],[Dont non opposable]]))</f>
        <v/>
      </c>
      <c r="AC449" s="8"/>
      <c r="AD449" s="63"/>
      <c r="AE449" s="430"/>
      <c r="AF449" s="430"/>
      <c r="AG449" s="430"/>
      <c r="AH449" s="181"/>
      <c r="AI449" s="194">
        <f>IF(COUNTA(SalCommune[[#This Row],[N°]:[heures annuelles
selon contrat(s)]])=0,"",REVEX!$E$9)</f>
        <v>0</v>
      </c>
      <c r="AJ449" s="72"/>
    </row>
    <row r="450" spans="1:36" x14ac:dyDescent="0.25">
      <c r="A450" s="72"/>
      <c r="B450" s="725" t="str">
        <f>IF(SalCommune[[#This Row],[Matricule]]="","",MAX($B$7:B449)+1)</f>
        <v/>
      </c>
      <c r="C450" s="8"/>
      <c r="D450" s="8"/>
      <c r="E450" s="20"/>
      <c r="F450" s="8"/>
      <c r="G450" s="8"/>
      <c r="H450" s="9"/>
      <c r="I450" s="9"/>
      <c r="J450" s="9"/>
      <c r="K450" s="714"/>
      <c r="L450" s="714"/>
      <c r="M450" s="9"/>
      <c r="N450" s="9"/>
      <c r="O450" s="9"/>
      <c r="P45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0" s="9"/>
      <c r="R450" s="9"/>
      <c r="S450" s="9"/>
      <c r="T450" s="37"/>
      <c r="U450" s="37"/>
      <c r="V450" s="37"/>
      <c r="W450" s="37"/>
      <c r="X450" s="37"/>
      <c r="Y450" s="37"/>
      <c r="Z45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0" s="37"/>
      <c r="AB450" s="713" t="str">
        <f>IF(COUNTA(SalCommune[[#This Row],[Nom]:[heures annuelles
selon contrat(s)]])=0,"",SalCommune[[#This Row],[Total global]]-ABS(SalCommune[[#This Row],[Dont non opposable]]))</f>
        <v/>
      </c>
      <c r="AC450" s="8"/>
      <c r="AD450" s="63"/>
      <c r="AE450" s="430"/>
      <c r="AF450" s="430"/>
      <c r="AG450" s="430"/>
      <c r="AH450" s="181"/>
      <c r="AI450" s="194">
        <f>IF(COUNTA(SalCommune[[#This Row],[N°]:[heures annuelles
selon contrat(s)]])=0,"",REVEX!$E$9)</f>
        <v>0</v>
      </c>
      <c r="AJ450" s="72"/>
    </row>
    <row r="451" spans="1:36" x14ac:dyDescent="0.25">
      <c r="A451" s="72"/>
      <c r="B451" s="725" t="str">
        <f>IF(SalCommune[[#This Row],[Matricule]]="","",MAX($B$7:B450)+1)</f>
        <v/>
      </c>
      <c r="C451" s="8"/>
      <c r="D451" s="8"/>
      <c r="E451" s="20"/>
      <c r="F451" s="8"/>
      <c r="G451" s="8"/>
      <c r="H451" s="9"/>
      <c r="I451" s="9"/>
      <c r="J451" s="9"/>
      <c r="K451" s="714"/>
      <c r="L451" s="714"/>
      <c r="M451" s="9"/>
      <c r="N451" s="9"/>
      <c r="O451" s="9"/>
      <c r="P45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1" s="9"/>
      <c r="R451" s="9"/>
      <c r="S451" s="9"/>
      <c r="T451" s="37"/>
      <c r="U451" s="37"/>
      <c r="V451" s="37"/>
      <c r="W451" s="37"/>
      <c r="X451" s="37"/>
      <c r="Y451" s="37"/>
      <c r="Z45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1" s="37"/>
      <c r="AB451" s="713" t="str">
        <f>IF(COUNTA(SalCommune[[#This Row],[Nom]:[heures annuelles
selon contrat(s)]])=0,"",SalCommune[[#This Row],[Total global]]-ABS(SalCommune[[#This Row],[Dont non opposable]]))</f>
        <v/>
      </c>
      <c r="AC451" s="8"/>
      <c r="AD451" s="63"/>
      <c r="AE451" s="430"/>
      <c r="AF451" s="430"/>
      <c r="AG451" s="430"/>
      <c r="AH451" s="181"/>
      <c r="AI451" s="194">
        <f>IF(COUNTA(SalCommune[[#This Row],[N°]:[heures annuelles
selon contrat(s)]])=0,"",REVEX!$E$9)</f>
        <v>0</v>
      </c>
      <c r="AJ451" s="72"/>
    </row>
    <row r="452" spans="1:36" x14ac:dyDescent="0.25">
      <c r="A452" s="72"/>
      <c r="B452" s="725" t="str">
        <f>IF(SalCommune[[#This Row],[Matricule]]="","",MAX($B$7:B451)+1)</f>
        <v/>
      </c>
      <c r="C452" s="8"/>
      <c r="D452" s="8"/>
      <c r="E452" s="20"/>
      <c r="F452" s="8"/>
      <c r="G452" s="8"/>
      <c r="H452" s="9"/>
      <c r="I452" s="9"/>
      <c r="J452" s="9"/>
      <c r="K452" s="714"/>
      <c r="L452" s="714"/>
      <c r="M452" s="9"/>
      <c r="N452" s="9"/>
      <c r="O452" s="9"/>
      <c r="P45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2" s="9"/>
      <c r="R452" s="9"/>
      <c r="S452" s="9"/>
      <c r="T452" s="37"/>
      <c r="U452" s="37"/>
      <c r="V452" s="37"/>
      <c r="W452" s="37"/>
      <c r="X452" s="37"/>
      <c r="Y452" s="37"/>
      <c r="Z45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2" s="37"/>
      <c r="AB452" s="713" t="str">
        <f>IF(COUNTA(SalCommune[[#This Row],[Nom]:[heures annuelles
selon contrat(s)]])=0,"",SalCommune[[#This Row],[Total global]]-ABS(SalCommune[[#This Row],[Dont non opposable]]))</f>
        <v/>
      </c>
      <c r="AC452" s="8"/>
      <c r="AD452" s="63"/>
      <c r="AE452" s="430"/>
      <c r="AF452" s="430"/>
      <c r="AG452" s="430"/>
      <c r="AH452" s="181"/>
      <c r="AI452" s="194">
        <f>IF(COUNTA(SalCommune[[#This Row],[N°]:[heures annuelles
selon contrat(s)]])=0,"",REVEX!$E$9)</f>
        <v>0</v>
      </c>
      <c r="AJ452" s="72"/>
    </row>
    <row r="453" spans="1:36" x14ac:dyDescent="0.25">
      <c r="A453" s="72"/>
      <c r="B453" s="725" t="str">
        <f>IF(SalCommune[[#This Row],[Matricule]]="","",MAX($B$7:B452)+1)</f>
        <v/>
      </c>
      <c r="C453" s="8"/>
      <c r="D453" s="8"/>
      <c r="E453" s="20"/>
      <c r="F453" s="8"/>
      <c r="G453" s="8"/>
      <c r="H453" s="9"/>
      <c r="I453" s="9"/>
      <c r="J453" s="9"/>
      <c r="K453" s="714"/>
      <c r="L453" s="714"/>
      <c r="M453" s="9"/>
      <c r="N453" s="9"/>
      <c r="O453" s="9"/>
      <c r="P45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3" s="9"/>
      <c r="R453" s="9"/>
      <c r="S453" s="9"/>
      <c r="T453" s="37"/>
      <c r="U453" s="37"/>
      <c r="V453" s="37"/>
      <c r="W453" s="37"/>
      <c r="X453" s="37"/>
      <c r="Y453" s="37"/>
      <c r="Z45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3" s="37"/>
      <c r="AB453" s="713" t="str">
        <f>IF(COUNTA(SalCommune[[#This Row],[Nom]:[heures annuelles
selon contrat(s)]])=0,"",SalCommune[[#This Row],[Total global]]-ABS(SalCommune[[#This Row],[Dont non opposable]]))</f>
        <v/>
      </c>
      <c r="AC453" s="8"/>
      <c r="AD453" s="63"/>
      <c r="AE453" s="430"/>
      <c r="AF453" s="430"/>
      <c r="AG453" s="430"/>
      <c r="AH453" s="181"/>
      <c r="AI453" s="194">
        <f>IF(COUNTA(SalCommune[[#This Row],[N°]:[heures annuelles
selon contrat(s)]])=0,"",REVEX!$E$9)</f>
        <v>0</v>
      </c>
      <c r="AJ453" s="72"/>
    </row>
    <row r="454" spans="1:36" x14ac:dyDescent="0.25">
      <c r="A454" s="72"/>
      <c r="B454" s="725" t="str">
        <f>IF(SalCommune[[#This Row],[Matricule]]="","",MAX($B$7:B453)+1)</f>
        <v/>
      </c>
      <c r="C454" s="8"/>
      <c r="D454" s="8"/>
      <c r="E454" s="20"/>
      <c r="F454" s="8"/>
      <c r="G454" s="8"/>
      <c r="H454" s="9"/>
      <c r="I454" s="9"/>
      <c r="J454" s="9"/>
      <c r="K454" s="714"/>
      <c r="L454" s="714"/>
      <c r="M454" s="9"/>
      <c r="N454" s="9"/>
      <c r="O454" s="9"/>
      <c r="P45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4" s="9"/>
      <c r="R454" s="9"/>
      <c r="S454" s="9"/>
      <c r="T454" s="37"/>
      <c r="U454" s="37"/>
      <c r="V454" s="37"/>
      <c r="W454" s="37"/>
      <c r="X454" s="37"/>
      <c r="Y454" s="37"/>
      <c r="Z45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4" s="37"/>
      <c r="AB454" s="713" t="str">
        <f>IF(COUNTA(SalCommune[[#This Row],[Nom]:[heures annuelles
selon contrat(s)]])=0,"",SalCommune[[#This Row],[Total global]]-ABS(SalCommune[[#This Row],[Dont non opposable]]))</f>
        <v/>
      </c>
      <c r="AC454" s="8"/>
      <c r="AD454" s="63"/>
      <c r="AE454" s="430"/>
      <c r="AF454" s="430"/>
      <c r="AG454" s="430"/>
      <c r="AH454" s="181"/>
      <c r="AI454" s="194">
        <f>IF(COUNTA(SalCommune[[#This Row],[N°]:[heures annuelles
selon contrat(s)]])=0,"",REVEX!$E$9)</f>
        <v>0</v>
      </c>
      <c r="AJ454" s="72"/>
    </row>
    <row r="455" spans="1:36" x14ac:dyDescent="0.25">
      <c r="A455" s="72"/>
      <c r="B455" s="725" t="str">
        <f>IF(SalCommune[[#This Row],[Matricule]]="","",MAX($B$7:B454)+1)</f>
        <v/>
      </c>
      <c r="C455" s="8"/>
      <c r="D455" s="8"/>
      <c r="E455" s="20"/>
      <c r="F455" s="8"/>
      <c r="G455" s="8"/>
      <c r="H455" s="9"/>
      <c r="I455" s="9"/>
      <c r="J455" s="9"/>
      <c r="K455" s="714"/>
      <c r="L455" s="714"/>
      <c r="M455" s="9"/>
      <c r="N455" s="9"/>
      <c r="O455" s="9"/>
      <c r="P45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5" s="9"/>
      <c r="R455" s="9"/>
      <c r="S455" s="9"/>
      <c r="T455" s="37"/>
      <c r="U455" s="37"/>
      <c r="V455" s="37"/>
      <c r="W455" s="37"/>
      <c r="X455" s="37"/>
      <c r="Y455" s="37"/>
      <c r="Z45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5" s="37"/>
      <c r="AB455" s="713" t="str">
        <f>IF(COUNTA(SalCommune[[#This Row],[Nom]:[heures annuelles
selon contrat(s)]])=0,"",SalCommune[[#This Row],[Total global]]-ABS(SalCommune[[#This Row],[Dont non opposable]]))</f>
        <v/>
      </c>
      <c r="AC455" s="8"/>
      <c r="AD455" s="63"/>
      <c r="AE455" s="430"/>
      <c r="AF455" s="430"/>
      <c r="AG455" s="430"/>
      <c r="AH455" s="181"/>
      <c r="AI455" s="194">
        <f>IF(COUNTA(SalCommune[[#This Row],[N°]:[heures annuelles
selon contrat(s)]])=0,"",REVEX!$E$9)</f>
        <v>0</v>
      </c>
      <c r="AJ455" s="72"/>
    </row>
    <row r="456" spans="1:36" x14ac:dyDescent="0.25">
      <c r="A456" s="72"/>
      <c r="B456" s="725" t="str">
        <f>IF(SalCommune[[#This Row],[Matricule]]="","",MAX($B$7:B455)+1)</f>
        <v/>
      </c>
      <c r="C456" s="8"/>
      <c r="D456" s="8"/>
      <c r="E456" s="20"/>
      <c r="F456" s="8"/>
      <c r="G456" s="8"/>
      <c r="H456" s="9"/>
      <c r="I456" s="9"/>
      <c r="J456" s="9"/>
      <c r="K456" s="714"/>
      <c r="L456" s="714"/>
      <c r="M456" s="9"/>
      <c r="N456" s="9"/>
      <c r="O456" s="9"/>
      <c r="P45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6" s="9"/>
      <c r="R456" s="9"/>
      <c r="S456" s="9"/>
      <c r="T456" s="37"/>
      <c r="U456" s="37"/>
      <c r="V456" s="37"/>
      <c r="W456" s="37"/>
      <c r="X456" s="37"/>
      <c r="Y456" s="37"/>
      <c r="Z45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6" s="37"/>
      <c r="AB456" s="713" t="str">
        <f>IF(COUNTA(SalCommune[[#This Row],[Nom]:[heures annuelles
selon contrat(s)]])=0,"",SalCommune[[#This Row],[Total global]]-ABS(SalCommune[[#This Row],[Dont non opposable]]))</f>
        <v/>
      </c>
      <c r="AC456" s="8"/>
      <c r="AD456" s="63"/>
      <c r="AE456" s="430"/>
      <c r="AF456" s="430"/>
      <c r="AG456" s="430"/>
      <c r="AH456" s="181"/>
      <c r="AI456" s="194">
        <f>IF(COUNTA(SalCommune[[#This Row],[N°]:[heures annuelles
selon contrat(s)]])=0,"",REVEX!$E$9)</f>
        <v>0</v>
      </c>
      <c r="AJ456" s="72"/>
    </row>
    <row r="457" spans="1:36" x14ac:dyDescent="0.25">
      <c r="A457" s="72"/>
      <c r="B457" s="725" t="str">
        <f>IF(SalCommune[[#This Row],[Matricule]]="","",MAX($B$7:B456)+1)</f>
        <v/>
      </c>
      <c r="C457" s="8"/>
      <c r="D457" s="8"/>
      <c r="E457" s="20"/>
      <c r="F457" s="8"/>
      <c r="G457" s="8"/>
      <c r="H457" s="9"/>
      <c r="I457" s="9"/>
      <c r="J457" s="9"/>
      <c r="K457" s="714"/>
      <c r="L457" s="714"/>
      <c r="M457" s="9"/>
      <c r="N457" s="9"/>
      <c r="O457" s="9"/>
      <c r="P45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7" s="9"/>
      <c r="R457" s="9"/>
      <c r="S457" s="9"/>
      <c r="T457" s="37"/>
      <c r="U457" s="37"/>
      <c r="V457" s="37"/>
      <c r="W457" s="37"/>
      <c r="X457" s="37"/>
      <c r="Y457" s="37"/>
      <c r="Z45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7" s="37"/>
      <c r="AB457" s="713" t="str">
        <f>IF(COUNTA(SalCommune[[#This Row],[Nom]:[heures annuelles
selon contrat(s)]])=0,"",SalCommune[[#This Row],[Total global]]-ABS(SalCommune[[#This Row],[Dont non opposable]]))</f>
        <v/>
      </c>
      <c r="AC457" s="8"/>
      <c r="AD457" s="63"/>
      <c r="AE457" s="430"/>
      <c r="AF457" s="430"/>
      <c r="AG457" s="430"/>
      <c r="AH457" s="181"/>
      <c r="AI457" s="194">
        <f>IF(COUNTA(SalCommune[[#This Row],[N°]:[heures annuelles
selon contrat(s)]])=0,"",REVEX!$E$9)</f>
        <v>0</v>
      </c>
      <c r="AJ457" s="72"/>
    </row>
    <row r="458" spans="1:36" x14ac:dyDescent="0.25">
      <c r="A458" s="72"/>
      <c r="B458" s="725" t="str">
        <f>IF(SalCommune[[#This Row],[Matricule]]="","",MAX($B$7:B457)+1)</f>
        <v/>
      </c>
      <c r="C458" s="8"/>
      <c r="D458" s="8"/>
      <c r="E458" s="20"/>
      <c r="F458" s="8"/>
      <c r="G458" s="8"/>
      <c r="H458" s="9"/>
      <c r="I458" s="9"/>
      <c r="J458" s="9"/>
      <c r="K458" s="714"/>
      <c r="L458" s="714"/>
      <c r="M458" s="9"/>
      <c r="N458" s="9"/>
      <c r="O458" s="9"/>
      <c r="P45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8" s="9"/>
      <c r="R458" s="9"/>
      <c r="S458" s="9"/>
      <c r="T458" s="37"/>
      <c r="U458" s="37"/>
      <c r="V458" s="37"/>
      <c r="W458" s="37"/>
      <c r="X458" s="37"/>
      <c r="Y458" s="37"/>
      <c r="Z45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8" s="37"/>
      <c r="AB458" s="713" t="str">
        <f>IF(COUNTA(SalCommune[[#This Row],[Nom]:[heures annuelles
selon contrat(s)]])=0,"",SalCommune[[#This Row],[Total global]]-ABS(SalCommune[[#This Row],[Dont non opposable]]))</f>
        <v/>
      </c>
      <c r="AC458" s="8"/>
      <c r="AD458" s="63"/>
      <c r="AE458" s="430"/>
      <c r="AF458" s="430"/>
      <c r="AG458" s="430"/>
      <c r="AH458" s="181"/>
      <c r="AI458" s="194">
        <f>IF(COUNTA(SalCommune[[#This Row],[N°]:[heures annuelles
selon contrat(s)]])=0,"",REVEX!$E$9)</f>
        <v>0</v>
      </c>
      <c r="AJ458" s="72"/>
    </row>
    <row r="459" spans="1:36" x14ac:dyDescent="0.25">
      <c r="A459" s="72"/>
      <c r="B459" s="725" t="str">
        <f>IF(SalCommune[[#This Row],[Matricule]]="","",MAX($B$7:B458)+1)</f>
        <v/>
      </c>
      <c r="C459" s="8"/>
      <c r="D459" s="8"/>
      <c r="E459" s="20"/>
      <c r="F459" s="8"/>
      <c r="G459" s="8"/>
      <c r="H459" s="9"/>
      <c r="I459" s="9"/>
      <c r="J459" s="9"/>
      <c r="K459" s="714"/>
      <c r="L459" s="714"/>
      <c r="M459" s="9"/>
      <c r="N459" s="9"/>
      <c r="O459" s="9"/>
      <c r="P45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59" s="9"/>
      <c r="R459" s="9"/>
      <c r="S459" s="9"/>
      <c r="T459" s="37"/>
      <c r="U459" s="37"/>
      <c r="V459" s="37"/>
      <c r="W459" s="37"/>
      <c r="X459" s="37"/>
      <c r="Y459" s="37"/>
      <c r="Z45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59" s="37"/>
      <c r="AB459" s="713" t="str">
        <f>IF(COUNTA(SalCommune[[#This Row],[Nom]:[heures annuelles
selon contrat(s)]])=0,"",SalCommune[[#This Row],[Total global]]-ABS(SalCommune[[#This Row],[Dont non opposable]]))</f>
        <v/>
      </c>
      <c r="AC459" s="8"/>
      <c r="AD459" s="63"/>
      <c r="AE459" s="430"/>
      <c r="AF459" s="430"/>
      <c r="AG459" s="430"/>
      <c r="AH459" s="181"/>
      <c r="AI459" s="194">
        <f>IF(COUNTA(SalCommune[[#This Row],[N°]:[heures annuelles
selon contrat(s)]])=0,"",REVEX!$E$9)</f>
        <v>0</v>
      </c>
      <c r="AJ459" s="72"/>
    </row>
    <row r="460" spans="1:36" x14ac:dyDescent="0.25">
      <c r="A460" s="72"/>
      <c r="B460" s="725" t="str">
        <f>IF(SalCommune[[#This Row],[Matricule]]="","",MAX($B$7:B459)+1)</f>
        <v/>
      </c>
      <c r="C460" s="8"/>
      <c r="D460" s="8"/>
      <c r="E460" s="20"/>
      <c r="F460" s="8"/>
      <c r="G460" s="8"/>
      <c r="H460" s="9"/>
      <c r="I460" s="9"/>
      <c r="J460" s="9"/>
      <c r="K460" s="714"/>
      <c r="L460" s="714"/>
      <c r="M460" s="9"/>
      <c r="N460" s="9"/>
      <c r="O460" s="9"/>
      <c r="P46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0" s="9"/>
      <c r="R460" s="9"/>
      <c r="S460" s="9"/>
      <c r="T460" s="37"/>
      <c r="U460" s="37"/>
      <c r="V460" s="37"/>
      <c r="W460" s="37"/>
      <c r="X460" s="37"/>
      <c r="Y460" s="37"/>
      <c r="Z46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0" s="37"/>
      <c r="AB460" s="713" t="str">
        <f>IF(COUNTA(SalCommune[[#This Row],[Nom]:[heures annuelles
selon contrat(s)]])=0,"",SalCommune[[#This Row],[Total global]]-ABS(SalCommune[[#This Row],[Dont non opposable]]))</f>
        <v/>
      </c>
      <c r="AC460" s="8"/>
      <c r="AD460" s="63"/>
      <c r="AE460" s="430"/>
      <c r="AF460" s="430"/>
      <c r="AG460" s="430"/>
      <c r="AH460" s="181"/>
      <c r="AI460" s="194">
        <f>IF(COUNTA(SalCommune[[#This Row],[N°]:[heures annuelles
selon contrat(s)]])=0,"",REVEX!$E$9)</f>
        <v>0</v>
      </c>
      <c r="AJ460" s="72"/>
    </row>
    <row r="461" spans="1:36" x14ac:dyDescent="0.25">
      <c r="A461" s="72"/>
      <c r="B461" s="725" t="str">
        <f>IF(SalCommune[[#This Row],[Matricule]]="","",MAX($B$7:B460)+1)</f>
        <v/>
      </c>
      <c r="C461" s="8"/>
      <c r="D461" s="8"/>
      <c r="E461" s="20"/>
      <c r="F461" s="8"/>
      <c r="G461" s="8"/>
      <c r="H461" s="9"/>
      <c r="I461" s="9"/>
      <c r="J461" s="9"/>
      <c r="K461" s="714"/>
      <c r="L461" s="714"/>
      <c r="M461" s="9"/>
      <c r="N461" s="9"/>
      <c r="O461" s="9"/>
      <c r="P46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1" s="9"/>
      <c r="R461" s="9"/>
      <c r="S461" s="9"/>
      <c r="T461" s="37"/>
      <c r="U461" s="37"/>
      <c r="V461" s="37"/>
      <c r="W461" s="37"/>
      <c r="X461" s="37"/>
      <c r="Y461" s="37"/>
      <c r="Z46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1" s="37"/>
      <c r="AB461" s="713" t="str">
        <f>IF(COUNTA(SalCommune[[#This Row],[Nom]:[heures annuelles
selon contrat(s)]])=0,"",SalCommune[[#This Row],[Total global]]-ABS(SalCommune[[#This Row],[Dont non opposable]]))</f>
        <v/>
      </c>
      <c r="AC461" s="8"/>
      <c r="AD461" s="63"/>
      <c r="AE461" s="430"/>
      <c r="AF461" s="430"/>
      <c r="AG461" s="430"/>
      <c r="AH461" s="181"/>
      <c r="AI461" s="194">
        <f>IF(COUNTA(SalCommune[[#This Row],[N°]:[heures annuelles
selon contrat(s)]])=0,"",REVEX!$E$9)</f>
        <v>0</v>
      </c>
      <c r="AJ461" s="72"/>
    </row>
    <row r="462" spans="1:36" x14ac:dyDescent="0.25">
      <c r="A462" s="72"/>
      <c r="B462" s="725" t="str">
        <f>IF(SalCommune[[#This Row],[Matricule]]="","",MAX($B$7:B461)+1)</f>
        <v/>
      </c>
      <c r="C462" s="8"/>
      <c r="D462" s="8"/>
      <c r="E462" s="20"/>
      <c r="F462" s="8"/>
      <c r="G462" s="8"/>
      <c r="H462" s="9"/>
      <c r="I462" s="9"/>
      <c r="J462" s="9"/>
      <c r="K462" s="714"/>
      <c r="L462" s="714"/>
      <c r="M462" s="9"/>
      <c r="N462" s="9"/>
      <c r="O462" s="9"/>
      <c r="P46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2" s="9"/>
      <c r="R462" s="9"/>
      <c r="S462" s="9"/>
      <c r="T462" s="37"/>
      <c r="U462" s="37"/>
      <c r="V462" s="37"/>
      <c r="W462" s="37"/>
      <c r="X462" s="37"/>
      <c r="Y462" s="37"/>
      <c r="Z46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2" s="37"/>
      <c r="AB462" s="713" t="str">
        <f>IF(COUNTA(SalCommune[[#This Row],[Nom]:[heures annuelles
selon contrat(s)]])=0,"",SalCommune[[#This Row],[Total global]]-ABS(SalCommune[[#This Row],[Dont non opposable]]))</f>
        <v/>
      </c>
      <c r="AC462" s="8"/>
      <c r="AD462" s="63"/>
      <c r="AE462" s="430"/>
      <c r="AF462" s="430"/>
      <c r="AG462" s="430"/>
      <c r="AH462" s="181"/>
      <c r="AI462" s="194">
        <f>IF(COUNTA(SalCommune[[#This Row],[N°]:[heures annuelles
selon contrat(s)]])=0,"",REVEX!$E$9)</f>
        <v>0</v>
      </c>
      <c r="AJ462" s="72"/>
    </row>
    <row r="463" spans="1:36" x14ac:dyDescent="0.25">
      <c r="A463" s="72"/>
      <c r="B463" s="725" t="str">
        <f>IF(SalCommune[[#This Row],[Matricule]]="","",MAX($B$7:B462)+1)</f>
        <v/>
      </c>
      <c r="C463" s="8"/>
      <c r="D463" s="8"/>
      <c r="E463" s="20"/>
      <c r="F463" s="8"/>
      <c r="G463" s="8"/>
      <c r="H463" s="9"/>
      <c r="I463" s="9"/>
      <c r="J463" s="9"/>
      <c r="K463" s="714"/>
      <c r="L463" s="714"/>
      <c r="M463" s="9"/>
      <c r="N463" s="9"/>
      <c r="O463" s="9"/>
      <c r="P46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3" s="9"/>
      <c r="R463" s="9"/>
      <c r="S463" s="9"/>
      <c r="T463" s="37"/>
      <c r="U463" s="37"/>
      <c r="V463" s="37"/>
      <c r="W463" s="37"/>
      <c r="X463" s="37"/>
      <c r="Y463" s="37"/>
      <c r="Z46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3" s="37"/>
      <c r="AB463" s="713" t="str">
        <f>IF(COUNTA(SalCommune[[#This Row],[Nom]:[heures annuelles
selon contrat(s)]])=0,"",SalCommune[[#This Row],[Total global]]-ABS(SalCommune[[#This Row],[Dont non opposable]]))</f>
        <v/>
      </c>
      <c r="AC463" s="8"/>
      <c r="AD463" s="63"/>
      <c r="AE463" s="430"/>
      <c r="AF463" s="430"/>
      <c r="AG463" s="430"/>
      <c r="AH463" s="181"/>
      <c r="AI463" s="194">
        <f>IF(COUNTA(SalCommune[[#This Row],[N°]:[heures annuelles
selon contrat(s)]])=0,"",REVEX!$E$9)</f>
        <v>0</v>
      </c>
      <c r="AJ463" s="72"/>
    </row>
    <row r="464" spans="1:36" x14ac:dyDescent="0.25">
      <c r="A464" s="72"/>
      <c r="B464" s="725" t="str">
        <f>IF(SalCommune[[#This Row],[Matricule]]="","",MAX($B$7:B463)+1)</f>
        <v/>
      </c>
      <c r="C464" s="8"/>
      <c r="D464" s="8"/>
      <c r="E464" s="20"/>
      <c r="F464" s="8"/>
      <c r="G464" s="8"/>
      <c r="H464" s="9"/>
      <c r="I464" s="9"/>
      <c r="J464" s="9"/>
      <c r="K464" s="714"/>
      <c r="L464" s="714"/>
      <c r="M464" s="9"/>
      <c r="N464" s="9"/>
      <c r="O464" s="9"/>
      <c r="P46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4" s="9"/>
      <c r="R464" s="9"/>
      <c r="S464" s="9"/>
      <c r="T464" s="37"/>
      <c r="U464" s="37"/>
      <c r="V464" s="37"/>
      <c r="W464" s="37"/>
      <c r="X464" s="37"/>
      <c r="Y464" s="37"/>
      <c r="Z46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4" s="37"/>
      <c r="AB464" s="713" t="str">
        <f>IF(COUNTA(SalCommune[[#This Row],[Nom]:[heures annuelles
selon contrat(s)]])=0,"",SalCommune[[#This Row],[Total global]]-ABS(SalCommune[[#This Row],[Dont non opposable]]))</f>
        <v/>
      </c>
      <c r="AC464" s="8"/>
      <c r="AD464" s="63"/>
      <c r="AE464" s="430"/>
      <c r="AF464" s="430"/>
      <c r="AG464" s="430"/>
      <c r="AH464" s="181"/>
      <c r="AI464" s="194">
        <f>IF(COUNTA(SalCommune[[#This Row],[N°]:[heures annuelles
selon contrat(s)]])=0,"",REVEX!$E$9)</f>
        <v>0</v>
      </c>
      <c r="AJ464" s="72"/>
    </row>
    <row r="465" spans="1:36" x14ac:dyDescent="0.25">
      <c r="A465" s="72"/>
      <c r="B465" s="725" t="str">
        <f>IF(SalCommune[[#This Row],[Matricule]]="","",MAX($B$7:B464)+1)</f>
        <v/>
      </c>
      <c r="C465" s="8"/>
      <c r="D465" s="8"/>
      <c r="E465" s="20"/>
      <c r="F465" s="8"/>
      <c r="G465" s="8"/>
      <c r="H465" s="9"/>
      <c r="I465" s="9"/>
      <c r="J465" s="9"/>
      <c r="K465" s="714"/>
      <c r="L465" s="714"/>
      <c r="M465" s="9"/>
      <c r="N465" s="9"/>
      <c r="O465" s="9"/>
      <c r="P46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5" s="9"/>
      <c r="R465" s="9"/>
      <c r="S465" s="9"/>
      <c r="T465" s="37"/>
      <c r="U465" s="37"/>
      <c r="V465" s="37"/>
      <c r="W465" s="37"/>
      <c r="X465" s="37"/>
      <c r="Y465" s="37"/>
      <c r="Z46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5" s="37"/>
      <c r="AB465" s="713" t="str">
        <f>IF(COUNTA(SalCommune[[#This Row],[Nom]:[heures annuelles
selon contrat(s)]])=0,"",SalCommune[[#This Row],[Total global]]-ABS(SalCommune[[#This Row],[Dont non opposable]]))</f>
        <v/>
      </c>
      <c r="AC465" s="8"/>
      <c r="AD465" s="63"/>
      <c r="AE465" s="430"/>
      <c r="AF465" s="430"/>
      <c r="AG465" s="430"/>
      <c r="AH465" s="181"/>
      <c r="AI465" s="194">
        <f>IF(COUNTA(SalCommune[[#This Row],[N°]:[heures annuelles
selon contrat(s)]])=0,"",REVEX!$E$9)</f>
        <v>0</v>
      </c>
      <c r="AJ465" s="72"/>
    </row>
    <row r="466" spans="1:36" x14ac:dyDescent="0.25">
      <c r="A466" s="72"/>
      <c r="B466" s="725" t="str">
        <f>IF(SalCommune[[#This Row],[Matricule]]="","",MAX($B$7:B465)+1)</f>
        <v/>
      </c>
      <c r="C466" s="8"/>
      <c r="D466" s="8"/>
      <c r="E466" s="20"/>
      <c r="F466" s="8"/>
      <c r="G466" s="8"/>
      <c r="H466" s="9"/>
      <c r="I466" s="9"/>
      <c r="J466" s="9"/>
      <c r="K466" s="714"/>
      <c r="L466" s="714"/>
      <c r="M466" s="9"/>
      <c r="N466" s="9"/>
      <c r="O466" s="9"/>
      <c r="P46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6" s="9"/>
      <c r="R466" s="9"/>
      <c r="S466" s="9"/>
      <c r="T466" s="37"/>
      <c r="U466" s="37"/>
      <c r="V466" s="37"/>
      <c r="W466" s="37"/>
      <c r="X466" s="37"/>
      <c r="Y466" s="37"/>
      <c r="Z46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6" s="37"/>
      <c r="AB466" s="713" t="str">
        <f>IF(COUNTA(SalCommune[[#This Row],[Nom]:[heures annuelles
selon contrat(s)]])=0,"",SalCommune[[#This Row],[Total global]]-ABS(SalCommune[[#This Row],[Dont non opposable]]))</f>
        <v/>
      </c>
      <c r="AC466" s="8"/>
      <c r="AD466" s="63"/>
      <c r="AE466" s="430"/>
      <c r="AF466" s="430"/>
      <c r="AG466" s="430"/>
      <c r="AH466" s="181"/>
      <c r="AI466" s="194">
        <f>IF(COUNTA(SalCommune[[#This Row],[N°]:[heures annuelles
selon contrat(s)]])=0,"",REVEX!$E$9)</f>
        <v>0</v>
      </c>
      <c r="AJ466" s="72"/>
    </row>
    <row r="467" spans="1:36" x14ac:dyDescent="0.25">
      <c r="A467" s="72"/>
      <c r="B467" s="725" t="str">
        <f>IF(SalCommune[[#This Row],[Matricule]]="","",MAX($B$7:B466)+1)</f>
        <v/>
      </c>
      <c r="C467" s="8"/>
      <c r="D467" s="8"/>
      <c r="E467" s="20"/>
      <c r="F467" s="8"/>
      <c r="G467" s="8"/>
      <c r="H467" s="9"/>
      <c r="I467" s="9"/>
      <c r="J467" s="9"/>
      <c r="K467" s="714"/>
      <c r="L467" s="714"/>
      <c r="M467" s="9"/>
      <c r="N467" s="9"/>
      <c r="O467" s="9"/>
      <c r="P46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7" s="9"/>
      <c r="R467" s="9"/>
      <c r="S467" s="9"/>
      <c r="T467" s="37"/>
      <c r="U467" s="37"/>
      <c r="V467" s="37"/>
      <c r="W467" s="37"/>
      <c r="X467" s="37"/>
      <c r="Y467" s="37"/>
      <c r="Z46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7" s="37"/>
      <c r="AB467" s="713" t="str">
        <f>IF(COUNTA(SalCommune[[#This Row],[Nom]:[heures annuelles
selon contrat(s)]])=0,"",SalCommune[[#This Row],[Total global]]-ABS(SalCommune[[#This Row],[Dont non opposable]]))</f>
        <v/>
      </c>
      <c r="AC467" s="8"/>
      <c r="AD467" s="63"/>
      <c r="AE467" s="430"/>
      <c r="AF467" s="430"/>
      <c r="AG467" s="430"/>
      <c r="AH467" s="181"/>
      <c r="AI467" s="194">
        <f>IF(COUNTA(SalCommune[[#This Row],[N°]:[heures annuelles
selon contrat(s)]])=0,"",REVEX!$E$9)</f>
        <v>0</v>
      </c>
      <c r="AJ467" s="72"/>
    </row>
    <row r="468" spans="1:36" x14ac:dyDescent="0.25">
      <c r="A468" s="72"/>
      <c r="B468" s="725" t="str">
        <f>IF(SalCommune[[#This Row],[Matricule]]="","",MAX($B$7:B467)+1)</f>
        <v/>
      </c>
      <c r="C468" s="8"/>
      <c r="D468" s="8"/>
      <c r="E468" s="20"/>
      <c r="F468" s="8"/>
      <c r="G468" s="8"/>
      <c r="H468" s="9"/>
      <c r="I468" s="9"/>
      <c r="J468" s="9"/>
      <c r="K468" s="714"/>
      <c r="L468" s="714"/>
      <c r="M468" s="9"/>
      <c r="N468" s="9"/>
      <c r="O468" s="9"/>
      <c r="P46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8" s="9"/>
      <c r="R468" s="9"/>
      <c r="S468" s="9"/>
      <c r="T468" s="37"/>
      <c r="U468" s="37"/>
      <c r="V468" s="37"/>
      <c r="W468" s="37"/>
      <c r="X468" s="37"/>
      <c r="Y468" s="37"/>
      <c r="Z46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8" s="37"/>
      <c r="AB468" s="713" t="str">
        <f>IF(COUNTA(SalCommune[[#This Row],[Nom]:[heures annuelles
selon contrat(s)]])=0,"",SalCommune[[#This Row],[Total global]]-ABS(SalCommune[[#This Row],[Dont non opposable]]))</f>
        <v/>
      </c>
      <c r="AC468" s="8"/>
      <c r="AD468" s="63"/>
      <c r="AE468" s="430"/>
      <c r="AF468" s="430"/>
      <c r="AG468" s="430"/>
      <c r="AH468" s="181"/>
      <c r="AI468" s="194">
        <f>IF(COUNTA(SalCommune[[#This Row],[N°]:[heures annuelles
selon contrat(s)]])=0,"",REVEX!$E$9)</f>
        <v>0</v>
      </c>
      <c r="AJ468" s="72"/>
    </row>
    <row r="469" spans="1:36" x14ac:dyDescent="0.25">
      <c r="A469" s="72"/>
      <c r="B469" s="725" t="str">
        <f>IF(SalCommune[[#This Row],[Matricule]]="","",MAX($B$7:B468)+1)</f>
        <v/>
      </c>
      <c r="C469" s="8"/>
      <c r="D469" s="8"/>
      <c r="E469" s="20"/>
      <c r="F469" s="8"/>
      <c r="G469" s="8"/>
      <c r="H469" s="9"/>
      <c r="I469" s="9"/>
      <c r="J469" s="9"/>
      <c r="K469" s="714"/>
      <c r="L469" s="714"/>
      <c r="M469" s="9"/>
      <c r="N469" s="9"/>
      <c r="O469" s="9"/>
      <c r="P46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69" s="9"/>
      <c r="R469" s="9"/>
      <c r="S469" s="9"/>
      <c r="T469" s="37"/>
      <c r="U469" s="37"/>
      <c r="V469" s="37"/>
      <c r="W469" s="37"/>
      <c r="X469" s="37"/>
      <c r="Y469" s="37"/>
      <c r="Z46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69" s="37"/>
      <c r="AB469" s="713" t="str">
        <f>IF(COUNTA(SalCommune[[#This Row],[Nom]:[heures annuelles
selon contrat(s)]])=0,"",SalCommune[[#This Row],[Total global]]-ABS(SalCommune[[#This Row],[Dont non opposable]]))</f>
        <v/>
      </c>
      <c r="AC469" s="8"/>
      <c r="AD469" s="63"/>
      <c r="AE469" s="430"/>
      <c r="AF469" s="430"/>
      <c r="AG469" s="430"/>
      <c r="AH469" s="181"/>
      <c r="AI469" s="194">
        <f>IF(COUNTA(SalCommune[[#This Row],[N°]:[heures annuelles
selon contrat(s)]])=0,"",REVEX!$E$9)</f>
        <v>0</v>
      </c>
      <c r="AJ469" s="72"/>
    </row>
    <row r="470" spans="1:36" x14ac:dyDescent="0.25">
      <c r="A470" s="72"/>
      <c r="B470" s="725" t="str">
        <f>IF(SalCommune[[#This Row],[Matricule]]="","",MAX($B$7:B469)+1)</f>
        <v/>
      </c>
      <c r="C470" s="8"/>
      <c r="D470" s="8"/>
      <c r="E470" s="20"/>
      <c r="F470" s="8"/>
      <c r="G470" s="8"/>
      <c r="H470" s="9"/>
      <c r="I470" s="9"/>
      <c r="J470" s="9"/>
      <c r="K470" s="714"/>
      <c r="L470" s="714"/>
      <c r="M470" s="9"/>
      <c r="N470" s="9"/>
      <c r="O470" s="9"/>
      <c r="P47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0" s="9"/>
      <c r="R470" s="9"/>
      <c r="S470" s="9"/>
      <c r="T470" s="37"/>
      <c r="U470" s="37"/>
      <c r="V470" s="37"/>
      <c r="W470" s="37"/>
      <c r="X470" s="37"/>
      <c r="Y470" s="37"/>
      <c r="Z47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0" s="37"/>
      <c r="AB470" s="713" t="str">
        <f>IF(COUNTA(SalCommune[[#This Row],[Nom]:[heures annuelles
selon contrat(s)]])=0,"",SalCommune[[#This Row],[Total global]]-ABS(SalCommune[[#This Row],[Dont non opposable]]))</f>
        <v/>
      </c>
      <c r="AC470" s="8"/>
      <c r="AD470" s="63"/>
      <c r="AE470" s="430"/>
      <c r="AF470" s="430"/>
      <c r="AG470" s="430"/>
      <c r="AH470" s="181"/>
      <c r="AI470" s="194">
        <f>IF(COUNTA(SalCommune[[#This Row],[N°]:[heures annuelles
selon contrat(s)]])=0,"",REVEX!$E$9)</f>
        <v>0</v>
      </c>
      <c r="AJ470" s="72"/>
    </row>
    <row r="471" spans="1:36" x14ac:dyDescent="0.25">
      <c r="A471" s="72"/>
      <c r="B471" s="725" t="str">
        <f>IF(SalCommune[[#This Row],[Matricule]]="","",MAX($B$7:B470)+1)</f>
        <v/>
      </c>
      <c r="C471" s="8"/>
      <c r="D471" s="8"/>
      <c r="E471" s="20"/>
      <c r="F471" s="8"/>
      <c r="G471" s="8"/>
      <c r="H471" s="9"/>
      <c r="I471" s="9"/>
      <c r="J471" s="9"/>
      <c r="K471" s="714"/>
      <c r="L471" s="714"/>
      <c r="M471" s="9"/>
      <c r="N471" s="9"/>
      <c r="O471" s="9"/>
      <c r="P47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1" s="9"/>
      <c r="R471" s="9"/>
      <c r="S471" s="9"/>
      <c r="T471" s="37"/>
      <c r="U471" s="37"/>
      <c r="V471" s="37"/>
      <c r="W471" s="37"/>
      <c r="X471" s="37"/>
      <c r="Y471" s="37"/>
      <c r="Z47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1" s="37"/>
      <c r="AB471" s="713" t="str">
        <f>IF(COUNTA(SalCommune[[#This Row],[Nom]:[heures annuelles
selon contrat(s)]])=0,"",SalCommune[[#This Row],[Total global]]-ABS(SalCommune[[#This Row],[Dont non opposable]]))</f>
        <v/>
      </c>
      <c r="AC471" s="8"/>
      <c r="AD471" s="63"/>
      <c r="AE471" s="430"/>
      <c r="AF471" s="430"/>
      <c r="AG471" s="430"/>
      <c r="AH471" s="181"/>
      <c r="AI471" s="194">
        <f>IF(COUNTA(SalCommune[[#This Row],[N°]:[heures annuelles
selon contrat(s)]])=0,"",REVEX!$E$9)</f>
        <v>0</v>
      </c>
      <c r="AJ471" s="72"/>
    </row>
    <row r="472" spans="1:36" x14ac:dyDescent="0.25">
      <c r="A472" s="72"/>
      <c r="B472" s="725" t="str">
        <f>IF(SalCommune[[#This Row],[Matricule]]="","",MAX($B$7:B471)+1)</f>
        <v/>
      </c>
      <c r="C472" s="8"/>
      <c r="D472" s="8"/>
      <c r="E472" s="20"/>
      <c r="F472" s="8"/>
      <c r="G472" s="8"/>
      <c r="H472" s="9"/>
      <c r="I472" s="9"/>
      <c r="J472" s="9"/>
      <c r="K472" s="714"/>
      <c r="L472" s="714"/>
      <c r="M472" s="9"/>
      <c r="N472" s="9"/>
      <c r="O472" s="9"/>
      <c r="P47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2" s="9"/>
      <c r="R472" s="9"/>
      <c r="S472" s="9"/>
      <c r="T472" s="37"/>
      <c r="U472" s="37"/>
      <c r="V472" s="37"/>
      <c r="W472" s="37"/>
      <c r="X472" s="37"/>
      <c r="Y472" s="37"/>
      <c r="Z47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2" s="37"/>
      <c r="AB472" s="713" t="str">
        <f>IF(COUNTA(SalCommune[[#This Row],[Nom]:[heures annuelles
selon contrat(s)]])=0,"",SalCommune[[#This Row],[Total global]]-ABS(SalCommune[[#This Row],[Dont non opposable]]))</f>
        <v/>
      </c>
      <c r="AC472" s="8"/>
      <c r="AD472" s="63"/>
      <c r="AE472" s="430"/>
      <c r="AF472" s="430"/>
      <c r="AG472" s="430"/>
      <c r="AH472" s="181"/>
      <c r="AI472" s="194">
        <f>IF(COUNTA(SalCommune[[#This Row],[N°]:[heures annuelles
selon contrat(s)]])=0,"",REVEX!$E$9)</f>
        <v>0</v>
      </c>
      <c r="AJ472" s="72"/>
    </row>
    <row r="473" spans="1:36" x14ac:dyDescent="0.25">
      <c r="A473" s="72"/>
      <c r="B473" s="725" t="str">
        <f>IF(SalCommune[[#This Row],[Matricule]]="","",MAX($B$7:B472)+1)</f>
        <v/>
      </c>
      <c r="C473" s="8"/>
      <c r="D473" s="8"/>
      <c r="E473" s="20"/>
      <c r="F473" s="8"/>
      <c r="G473" s="8"/>
      <c r="H473" s="9"/>
      <c r="I473" s="9"/>
      <c r="J473" s="9"/>
      <c r="K473" s="714"/>
      <c r="L473" s="714"/>
      <c r="M473" s="9"/>
      <c r="N473" s="9"/>
      <c r="O473" s="9"/>
      <c r="P47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3" s="9"/>
      <c r="R473" s="9"/>
      <c r="S473" s="9"/>
      <c r="T473" s="37"/>
      <c r="U473" s="37"/>
      <c r="V473" s="37"/>
      <c r="W473" s="37"/>
      <c r="X473" s="37"/>
      <c r="Y473" s="37"/>
      <c r="Z47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3" s="37"/>
      <c r="AB473" s="713" t="str">
        <f>IF(COUNTA(SalCommune[[#This Row],[Nom]:[heures annuelles
selon contrat(s)]])=0,"",SalCommune[[#This Row],[Total global]]-ABS(SalCommune[[#This Row],[Dont non opposable]]))</f>
        <v/>
      </c>
      <c r="AC473" s="8"/>
      <c r="AD473" s="63"/>
      <c r="AE473" s="430"/>
      <c r="AF473" s="430"/>
      <c r="AG473" s="430"/>
      <c r="AH473" s="181"/>
      <c r="AI473" s="194">
        <f>IF(COUNTA(SalCommune[[#This Row],[N°]:[heures annuelles
selon contrat(s)]])=0,"",REVEX!$E$9)</f>
        <v>0</v>
      </c>
      <c r="AJ473" s="72"/>
    </row>
    <row r="474" spans="1:36" x14ac:dyDescent="0.25">
      <c r="A474" s="72"/>
      <c r="B474" s="725" t="str">
        <f>IF(SalCommune[[#This Row],[Matricule]]="","",MAX($B$7:B473)+1)</f>
        <v/>
      </c>
      <c r="C474" s="8"/>
      <c r="D474" s="8"/>
      <c r="E474" s="20"/>
      <c r="F474" s="8"/>
      <c r="G474" s="8"/>
      <c r="H474" s="9"/>
      <c r="I474" s="9"/>
      <c r="J474" s="9"/>
      <c r="K474" s="714"/>
      <c r="L474" s="714"/>
      <c r="M474" s="9"/>
      <c r="N474" s="9"/>
      <c r="O474" s="9"/>
      <c r="P47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4" s="9"/>
      <c r="R474" s="9"/>
      <c r="S474" s="9"/>
      <c r="T474" s="37"/>
      <c r="U474" s="37"/>
      <c r="V474" s="37"/>
      <c r="W474" s="37"/>
      <c r="X474" s="37"/>
      <c r="Y474" s="37"/>
      <c r="Z47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4" s="37"/>
      <c r="AB474" s="713" t="str">
        <f>IF(COUNTA(SalCommune[[#This Row],[Nom]:[heures annuelles
selon contrat(s)]])=0,"",SalCommune[[#This Row],[Total global]]-ABS(SalCommune[[#This Row],[Dont non opposable]]))</f>
        <v/>
      </c>
      <c r="AC474" s="8"/>
      <c r="AD474" s="63"/>
      <c r="AE474" s="430"/>
      <c r="AF474" s="430"/>
      <c r="AG474" s="430"/>
      <c r="AH474" s="181"/>
      <c r="AI474" s="194">
        <f>IF(COUNTA(SalCommune[[#This Row],[N°]:[heures annuelles
selon contrat(s)]])=0,"",REVEX!$E$9)</f>
        <v>0</v>
      </c>
      <c r="AJ474" s="72"/>
    </row>
    <row r="475" spans="1:36" x14ac:dyDescent="0.25">
      <c r="A475" s="72"/>
      <c r="B475" s="725" t="str">
        <f>IF(SalCommune[[#This Row],[Matricule]]="","",MAX($B$7:B474)+1)</f>
        <v/>
      </c>
      <c r="C475" s="8"/>
      <c r="D475" s="8"/>
      <c r="E475" s="20"/>
      <c r="F475" s="8"/>
      <c r="G475" s="8"/>
      <c r="H475" s="9"/>
      <c r="I475" s="9"/>
      <c r="J475" s="9"/>
      <c r="K475" s="714"/>
      <c r="L475" s="714"/>
      <c r="M475" s="9"/>
      <c r="N475" s="9"/>
      <c r="O475" s="9"/>
      <c r="P47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5" s="9"/>
      <c r="R475" s="9"/>
      <c r="S475" s="9"/>
      <c r="T475" s="37"/>
      <c r="U475" s="37"/>
      <c r="V475" s="37"/>
      <c r="W475" s="37"/>
      <c r="X475" s="37"/>
      <c r="Y475" s="37"/>
      <c r="Z47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5" s="37"/>
      <c r="AB475" s="713" t="str">
        <f>IF(COUNTA(SalCommune[[#This Row],[Nom]:[heures annuelles
selon contrat(s)]])=0,"",SalCommune[[#This Row],[Total global]]-ABS(SalCommune[[#This Row],[Dont non opposable]]))</f>
        <v/>
      </c>
      <c r="AC475" s="8"/>
      <c r="AD475" s="63"/>
      <c r="AE475" s="430"/>
      <c r="AF475" s="430"/>
      <c r="AG475" s="430"/>
      <c r="AH475" s="181"/>
      <c r="AI475" s="194">
        <f>IF(COUNTA(SalCommune[[#This Row],[N°]:[heures annuelles
selon contrat(s)]])=0,"",REVEX!$E$9)</f>
        <v>0</v>
      </c>
      <c r="AJ475" s="72"/>
    </row>
    <row r="476" spans="1:36" x14ac:dyDescent="0.25">
      <c r="A476" s="72"/>
      <c r="B476" s="725" t="str">
        <f>IF(SalCommune[[#This Row],[Matricule]]="","",MAX($B$7:B475)+1)</f>
        <v/>
      </c>
      <c r="C476" s="8"/>
      <c r="D476" s="8"/>
      <c r="E476" s="20"/>
      <c r="F476" s="8"/>
      <c r="G476" s="8"/>
      <c r="H476" s="9"/>
      <c r="I476" s="9"/>
      <c r="J476" s="9"/>
      <c r="K476" s="714"/>
      <c r="L476" s="714"/>
      <c r="M476" s="9"/>
      <c r="N476" s="9"/>
      <c r="O476" s="9"/>
      <c r="P47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6" s="9"/>
      <c r="R476" s="9"/>
      <c r="S476" s="9"/>
      <c r="T476" s="37"/>
      <c r="U476" s="37"/>
      <c r="V476" s="37"/>
      <c r="W476" s="37"/>
      <c r="X476" s="37"/>
      <c r="Y476" s="37"/>
      <c r="Z47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6" s="37"/>
      <c r="AB476" s="713" t="str">
        <f>IF(COUNTA(SalCommune[[#This Row],[Nom]:[heures annuelles
selon contrat(s)]])=0,"",SalCommune[[#This Row],[Total global]]-ABS(SalCommune[[#This Row],[Dont non opposable]]))</f>
        <v/>
      </c>
      <c r="AC476" s="8"/>
      <c r="AD476" s="63"/>
      <c r="AE476" s="430"/>
      <c r="AF476" s="430"/>
      <c r="AG476" s="430"/>
      <c r="AH476" s="181"/>
      <c r="AI476" s="194">
        <f>IF(COUNTA(SalCommune[[#This Row],[N°]:[heures annuelles
selon contrat(s)]])=0,"",REVEX!$E$9)</f>
        <v>0</v>
      </c>
      <c r="AJ476" s="72"/>
    </row>
    <row r="477" spans="1:36" x14ac:dyDescent="0.25">
      <c r="A477" s="72"/>
      <c r="B477" s="725" t="str">
        <f>IF(SalCommune[[#This Row],[Matricule]]="","",MAX($B$7:B476)+1)</f>
        <v/>
      </c>
      <c r="C477" s="8"/>
      <c r="D477" s="8"/>
      <c r="E477" s="20"/>
      <c r="F477" s="8"/>
      <c r="G477" s="8"/>
      <c r="H477" s="9"/>
      <c r="I477" s="9"/>
      <c r="J477" s="9"/>
      <c r="K477" s="714"/>
      <c r="L477" s="714"/>
      <c r="M477" s="9"/>
      <c r="N477" s="9"/>
      <c r="O477" s="9"/>
      <c r="P47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7" s="9"/>
      <c r="R477" s="9"/>
      <c r="S477" s="9"/>
      <c r="T477" s="37"/>
      <c r="U477" s="37"/>
      <c r="V477" s="37"/>
      <c r="W477" s="37"/>
      <c r="X477" s="37"/>
      <c r="Y477" s="37"/>
      <c r="Z47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7" s="37"/>
      <c r="AB477" s="713" t="str">
        <f>IF(COUNTA(SalCommune[[#This Row],[Nom]:[heures annuelles
selon contrat(s)]])=0,"",SalCommune[[#This Row],[Total global]]-ABS(SalCommune[[#This Row],[Dont non opposable]]))</f>
        <v/>
      </c>
      <c r="AC477" s="8"/>
      <c r="AD477" s="63"/>
      <c r="AE477" s="430"/>
      <c r="AF477" s="430"/>
      <c r="AG477" s="430"/>
      <c r="AH477" s="181"/>
      <c r="AI477" s="194">
        <f>IF(COUNTA(SalCommune[[#This Row],[N°]:[heures annuelles
selon contrat(s)]])=0,"",REVEX!$E$9)</f>
        <v>0</v>
      </c>
      <c r="AJ477" s="72"/>
    </row>
    <row r="478" spans="1:36" x14ac:dyDescent="0.25">
      <c r="A478" s="72"/>
      <c r="B478" s="725" t="str">
        <f>IF(SalCommune[[#This Row],[Matricule]]="","",MAX($B$7:B477)+1)</f>
        <v/>
      </c>
      <c r="C478" s="8"/>
      <c r="D478" s="8"/>
      <c r="E478" s="20"/>
      <c r="F478" s="8"/>
      <c r="G478" s="8"/>
      <c r="H478" s="9"/>
      <c r="I478" s="9"/>
      <c r="J478" s="9"/>
      <c r="K478" s="714"/>
      <c r="L478" s="714"/>
      <c r="M478" s="9"/>
      <c r="N478" s="9"/>
      <c r="O478" s="9"/>
      <c r="P47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8" s="9"/>
      <c r="R478" s="9"/>
      <c r="S478" s="9"/>
      <c r="T478" s="37"/>
      <c r="U478" s="37"/>
      <c r="V478" s="37"/>
      <c r="W478" s="37"/>
      <c r="X478" s="37"/>
      <c r="Y478" s="37"/>
      <c r="Z47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8" s="37"/>
      <c r="AB478" s="713" t="str">
        <f>IF(COUNTA(SalCommune[[#This Row],[Nom]:[heures annuelles
selon contrat(s)]])=0,"",SalCommune[[#This Row],[Total global]]-ABS(SalCommune[[#This Row],[Dont non opposable]]))</f>
        <v/>
      </c>
      <c r="AC478" s="8"/>
      <c r="AD478" s="63"/>
      <c r="AE478" s="430"/>
      <c r="AF478" s="430"/>
      <c r="AG478" s="430"/>
      <c r="AH478" s="181"/>
      <c r="AI478" s="194">
        <f>IF(COUNTA(SalCommune[[#This Row],[N°]:[heures annuelles
selon contrat(s)]])=0,"",REVEX!$E$9)</f>
        <v>0</v>
      </c>
      <c r="AJ478" s="72"/>
    </row>
    <row r="479" spans="1:36" x14ac:dyDescent="0.25">
      <c r="A479" s="72"/>
      <c r="B479" s="725" t="str">
        <f>IF(SalCommune[[#This Row],[Matricule]]="","",MAX($B$7:B478)+1)</f>
        <v/>
      </c>
      <c r="C479" s="8"/>
      <c r="D479" s="8"/>
      <c r="E479" s="20"/>
      <c r="F479" s="8"/>
      <c r="G479" s="8"/>
      <c r="H479" s="9"/>
      <c r="I479" s="9"/>
      <c r="J479" s="9"/>
      <c r="K479" s="714"/>
      <c r="L479" s="714"/>
      <c r="M479" s="9"/>
      <c r="N479" s="9"/>
      <c r="O479" s="9"/>
      <c r="P47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79" s="9"/>
      <c r="R479" s="9"/>
      <c r="S479" s="9"/>
      <c r="T479" s="37"/>
      <c r="U479" s="37"/>
      <c r="V479" s="37"/>
      <c r="W479" s="37"/>
      <c r="X479" s="37"/>
      <c r="Y479" s="37"/>
      <c r="Z47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79" s="37"/>
      <c r="AB479" s="713" t="str">
        <f>IF(COUNTA(SalCommune[[#This Row],[Nom]:[heures annuelles
selon contrat(s)]])=0,"",SalCommune[[#This Row],[Total global]]-ABS(SalCommune[[#This Row],[Dont non opposable]]))</f>
        <v/>
      </c>
      <c r="AC479" s="8"/>
      <c r="AD479" s="63"/>
      <c r="AE479" s="430"/>
      <c r="AF479" s="430"/>
      <c r="AG479" s="430"/>
      <c r="AH479" s="181"/>
      <c r="AI479" s="194">
        <f>IF(COUNTA(SalCommune[[#This Row],[N°]:[heures annuelles
selon contrat(s)]])=0,"",REVEX!$E$9)</f>
        <v>0</v>
      </c>
      <c r="AJ479" s="72"/>
    </row>
    <row r="480" spans="1:36" x14ac:dyDescent="0.25">
      <c r="A480" s="72"/>
      <c r="B480" s="725" t="str">
        <f>IF(SalCommune[[#This Row],[Matricule]]="","",MAX($B$7:B479)+1)</f>
        <v/>
      </c>
      <c r="C480" s="8"/>
      <c r="D480" s="8"/>
      <c r="E480" s="20"/>
      <c r="F480" s="8"/>
      <c r="G480" s="8"/>
      <c r="H480" s="9"/>
      <c r="I480" s="9"/>
      <c r="J480" s="9"/>
      <c r="K480" s="714"/>
      <c r="L480" s="714"/>
      <c r="M480" s="9"/>
      <c r="N480" s="9"/>
      <c r="O480" s="9"/>
      <c r="P48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0" s="9"/>
      <c r="R480" s="9"/>
      <c r="S480" s="9"/>
      <c r="T480" s="37"/>
      <c r="U480" s="37"/>
      <c r="V480" s="37"/>
      <c r="W480" s="37"/>
      <c r="X480" s="37"/>
      <c r="Y480" s="37"/>
      <c r="Z48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0" s="37"/>
      <c r="AB480" s="713" t="str">
        <f>IF(COUNTA(SalCommune[[#This Row],[Nom]:[heures annuelles
selon contrat(s)]])=0,"",SalCommune[[#This Row],[Total global]]-ABS(SalCommune[[#This Row],[Dont non opposable]]))</f>
        <v/>
      </c>
      <c r="AC480" s="8"/>
      <c r="AD480" s="63"/>
      <c r="AE480" s="430"/>
      <c r="AF480" s="430"/>
      <c r="AG480" s="430"/>
      <c r="AH480" s="181"/>
      <c r="AI480" s="194">
        <f>IF(COUNTA(SalCommune[[#This Row],[N°]:[heures annuelles
selon contrat(s)]])=0,"",REVEX!$E$9)</f>
        <v>0</v>
      </c>
      <c r="AJ480" s="72"/>
    </row>
    <row r="481" spans="1:36" x14ac:dyDescent="0.25">
      <c r="A481" s="72"/>
      <c r="B481" s="725" t="str">
        <f>IF(SalCommune[[#This Row],[Matricule]]="","",MAX($B$7:B480)+1)</f>
        <v/>
      </c>
      <c r="C481" s="8"/>
      <c r="D481" s="8"/>
      <c r="E481" s="20"/>
      <c r="F481" s="8"/>
      <c r="G481" s="8"/>
      <c r="H481" s="9"/>
      <c r="I481" s="9"/>
      <c r="J481" s="9"/>
      <c r="K481" s="714"/>
      <c r="L481" s="714"/>
      <c r="M481" s="9"/>
      <c r="N481" s="9"/>
      <c r="O481" s="9"/>
      <c r="P48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1" s="9"/>
      <c r="R481" s="9"/>
      <c r="S481" s="9"/>
      <c r="T481" s="37"/>
      <c r="U481" s="37"/>
      <c r="V481" s="37"/>
      <c r="W481" s="37"/>
      <c r="X481" s="37"/>
      <c r="Y481" s="37"/>
      <c r="Z48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1" s="37"/>
      <c r="AB481" s="713" t="str">
        <f>IF(COUNTA(SalCommune[[#This Row],[Nom]:[heures annuelles
selon contrat(s)]])=0,"",SalCommune[[#This Row],[Total global]]-ABS(SalCommune[[#This Row],[Dont non opposable]]))</f>
        <v/>
      </c>
      <c r="AC481" s="8"/>
      <c r="AD481" s="63"/>
      <c r="AE481" s="430"/>
      <c r="AF481" s="430"/>
      <c r="AG481" s="430"/>
      <c r="AH481" s="181"/>
      <c r="AI481" s="194">
        <f>IF(COUNTA(SalCommune[[#This Row],[N°]:[heures annuelles
selon contrat(s)]])=0,"",REVEX!$E$9)</f>
        <v>0</v>
      </c>
      <c r="AJ481" s="72"/>
    </row>
    <row r="482" spans="1:36" x14ac:dyDescent="0.25">
      <c r="A482" s="72"/>
      <c r="B482" s="725" t="str">
        <f>IF(SalCommune[[#This Row],[Matricule]]="","",MAX($B$7:B481)+1)</f>
        <v/>
      </c>
      <c r="C482" s="8"/>
      <c r="D482" s="8"/>
      <c r="E482" s="20"/>
      <c r="F482" s="8"/>
      <c r="G482" s="8"/>
      <c r="H482" s="9"/>
      <c r="I482" s="9"/>
      <c r="J482" s="9"/>
      <c r="K482" s="714"/>
      <c r="L482" s="714"/>
      <c r="M482" s="9"/>
      <c r="N482" s="9"/>
      <c r="O482" s="9"/>
      <c r="P48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2" s="9"/>
      <c r="R482" s="9"/>
      <c r="S482" s="9"/>
      <c r="T482" s="37"/>
      <c r="U482" s="37"/>
      <c r="V482" s="37"/>
      <c r="W482" s="37"/>
      <c r="X482" s="37"/>
      <c r="Y482" s="37"/>
      <c r="Z48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2" s="37"/>
      <c r="AB482" s="713" t="str">
        <f>IF(COUNTA(SalCommune[[#This Row],[Nom]:[heures annuelles
selon contrat(s)]])=0,"",SalCommune[[#This Row],[Total global]]-ABS(SalCommune[[#This Row],[Dont non opposable]]))</f>
        <v/>
      </c>
      <c r="AC482" s="8"/>
      <c r="AD482" s="63"/>
      <c r="AE482" s="430"/>
      <c r="AF482" s="430"/>
      <c r="AG482" s="430"/>
      <c r="AH482" s="181"/>
      <c r="AI482" s="194">
        <f>IF(COUNTA(SalCommune[[#This Row],[N°]:[heures annuelles
selon contrat(s)]])=0,"",REVEX!$E$9)</f>
        <v>0</v>
      </c>
      <c r="AJ482" s="72"/>
    </row>
    <row r="483" spans="1:36" x14ac:dyDescent="0.25">
      <c r="A483" s="72"/>
      <c r="B483" s="725" t="str">
        <f>IF(SalCommune[[#This Row],[Matricule]]="","",MAX($B$7:B482)+1)</f>
        <v/>
      </c>
      <c r="C483" s="8"/>
      <c r="D483" s="8"/>
      <c r="E483" s="20"/>
      <c r="F483" s="8"/>
      <c r="G483" s="8"/>
      <c r="H483" s="9"/>
      <c r="I483" s="9"/>
      <c r="J483" s="9"/>
      <c r="K483" s="714"/>
      <c r="L483" s="714"/>
      <c r="M483" s="9"/>
      <c r="N483" s="9"/>
      <c r="O483" s="9"/>
      <c r="P48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3" s="9"/>
      <c r="R483" s="9"/>
      <c r="S483" s="9"/>
      <c r="T483" s="37"/>
      <c r="U483" s="37"/>
      <c r="V483" s="37"/>
      <c r="W483" s="37"/>
      <c r="X483" s="37"/>
      <c r="Y483" s="37"/>
      <c r="Z48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3" s="37"/>
      <c r="AB483" s="713" t="str">
        <f>IF(COUNTA(SalCommune[[#This Row],[Nom]:[heures annuelles
selon contrat(s)]])=0,"",SalCommune[[#This Row],[Total global]]-ABS(SalCommune[[#This Row],[Dont non opposable]]))</f>
        <v/>
      </c>
      <c r="AC483" s="8"/>
      <c r="AD483" s="63"/>
      <c r="AE483" s="430"/>
      <c r="AF483" s="430"/>
      <c r="AG483" s="430"/>
      <c r="AH483" s="181"/>
      <c r="AI483" s="194">
        <f>IF(COUNTA(SalCommune[[#This Row],[N°]:[heures annuelles
selon contrat(s)]])=0,"",REVEX!$E$9)</f>
        <v>0</v>
      </c>
      <c r="AJ483" s="72"/>
    </row>
    <row r="484" spans="1:36" x14ac:dyDescent="0.25">
      <c r="A484" s="72"/>
      <c r="B484" s="725" t="str">
        <f>IF(SalCommune[[#This Row],[Matricule]]="","",MAX($B$7:B483)+1)</f>
        <v/>
      </c>
      <c r="C484" s="8"/>
      <c r="D484" s="8"/>
      <c r="E484" s="20"/>
      <c r="F484" s="8"/>
      <c r="G484" s="8"/>
      <c r="H484" s="9"/>
      <c r="I484" s="9"/>
      <c r="J484" s="9"/>
      <c r="K484" s="714"/>
      <c r="L484" s="714"/>
      <c r="M484" s="9"/>
      <c r="N484" s="9"/>
      <c r="O484" s="9"/>
      <c r="P48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4" s="9"/>
      <c r="R484" s="9"/>
      <c r="S484" s="9"/>
      <c r="T484" s="37"/>
      <c r="U484" s="37"/>
      <c r="V484" s="37"/>
      <c r="W484" s="37"/>
      <c r="X484" s="37"/>
      <c r="Y484" s="37"/>
      <c r="Z48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4" s="37"/>
      <c r="AB484" s="713" t="str">
        <f>IF(COUNTA(SalCommune[[#This Row],[Nom]:[heures annuelles
selon contrat(s)]])=0,"",SalCommune[[#This Row],[Total global]]-ABS(SalCommune[[#This Row],[Dont non opposable]]))</f>
        <v/>
      </c>
      <c r="AC484" s="8"/>
      <c r="AD484" s="63"/>
      <c r="AE484" s="430"/>
      <c r="AF484" s="430"/>
      <c r="AG484" s="430"/>
      <c r="AH484" s="181"/>
      <c r="AI484" s="194">
        <f>IF(COUNTA(SalCommune[[#This Row],[N°]:[heures annuelles
selon contrat(s)]])=0,"",REVEX!$E$9)</f>
        <v>0</v>
      </c>
      <c r="AJ484" s="72"/>
    </row>
    <row r="485" spans="1:36" x14ac:dyDescent="0.25">
      <c r="A485" s="72"/>
      <c r="B485" s="725" t="str">
        <f>IF(SalCommune[[#This Row],[Matricule]]="","",MAX($B$7:B484)+1)</f>
        <v/>
      </c>
      <c r="C485" s="8"/>
      <c r="D485" s="8"/>
      <c r="E485" s="20"/>
      <c r="F485" s="8"/>
      <c r="G485" s="8"/>
      <c r="H485" s="9"/>
      <c r="I485" s="9"/>
      <c r="J485" s="9"/>
      <c r="K485" s="714"/>
      <c r="L485" s="714"/>
      <c r="M485" s="9"/>
      <c r="N485" s="9"/>
      <c r="O485" s="9"/>
      <c r="P48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5" s="9"/>
      <c r="R485" s="9"/>
      <c r="S485" s="9"/>
      <c r="T485" s="37"/>
      <c r="U485" s="37"/>
      <c r="V485" s="37"/>
      <c r="W485" s="37"/>
      <c r="X485" s="37"/>
      <c r="Y485" s="37"/>
      <c r="Z48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5" s="37"/>
      <c r="AB485" s="713" t="str">
        <f>IF(COUNTA(SalCommune[[#This Row],[Nom]:[heures annuelles
selon contrat(s)]])=0,"",SalCommune[[#This Row],[Total global]]-ABS(SalCommune[[#This Row],[Dont non opposable]]))</f>
        <v/>
      </c>
      <c r="AC485" s="8"/>
      <c r="AD485" s="63"/>
      <c r="AE485" s="430"/>
      <c r="AF485" s="430"/>
      <c r="AG485" s="430"/>
      <c r="AH485" s="181"/>
      <c r="AI485" s="194">
        <f>IF(COUNTA(SalCommune[[#This Row],[N°]:[heures annuelles
selon contrat(s)]])=0,"",REVEX!$E$9)</f>
        <v>0</v>
      </c>
      <c r="AJ485" s="72"/>
    </row>
    <row r="486" spans="1:36" x14ac:dyDescent="0.25">
      <c r="A486" s="72"/>
      <c r="B486" s="725" t="str">
        <f>IF(SalCommune[[#This Row],[Matricule]]="","",MAX($B$7:B485)+1)</f>
        <v/>
      </c>
      <c r="C486" s="8"/>
      <c r="D486" s="8"/>
      <c r="E486" s="20"/>
      <c r="F486" s="8"/>
      <c r="G486" s="8"/>
      <c r="H486" s="9"/>
      <c r="I486" s="9"/>
      <c r="J486" s="9"/>
      <c r="K486" s="714"/>
      <c r="L486" s="714"/>
      <c r="M486" s="9"/>
      <c r="N486" s="9"/>
      <c r="O486" s="9"/>
      <c r="P48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6" s="9"/>
      <c r="R486" s="9"/>
      <c r="S486" s="9"/>
      <c r="T486" s="37"/>
      <c r="U486" s="37"/>
      <c r="V486" s="37"/>
      <c r="W486" s="37"/>
      <c r="X486" s="37"/>
      <c r="Y486" s="37"/>
      <c r="Z48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6" s="37"/>
      <c r="AB486" s="713" t="str">
        <f>IF(COUNTA(SalCommune[[#This Row],[Nom]:[heures annuelles
selon contrat(s)]])=0,"",SalCommune[[#This Row],[Total global]]-ABS(SalCommune[[#This Row],[Dont non opposable]]))</f>
        <v/>
      </c>
      <c r="AC486" s="8"/>
      <c r="AD486" s="63"/>
      <c r="AE486" s="430"/>
      <c r="AF486" s="430"/>
      <c r="AG486" s="430"/>
      <c r="AH486" s="181"/>
      <c r="AI486" s="194">
        <f>IF(COUNTA(SalCommune[[#This Row],[N°]:[heures annuelles
selon contrat(s)]])=0,"",REVEX!$E$9)</f>
        <v>0</v>
      </c>
      <c r="AJ486" s="72"/>
    </row>
    <row r="487" spans="1:36" x14ac:dyDescent="0.25">
      <c r="A487" s="72"/>
      <c r="B487" s="725" t="str">
        <f>IF(SalCommune[[#This Row],[Matricule]]="","",MAX($B$7:B486)+1)</f>
        <v/>
      </c>
      <c r="C487" s="8"/>
      <c r="D487" s="8"/>
      <c r="E487" s="20"/>
      <c r="F487" s="8"/>
      <c r="G487" s="8"/>
      <c r="H487" s="9"/>
      <c r="I487" s="9"/>
      <c r="J487" s="9"/>
      <c r="K487" s="714"/>
      <c r="L487" s="714"/>
      <c r="M487" s="9"/>
      <c r="N487" s="9"/>
      <c r="O487" s="9"/>
      <c r="P48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7" s="9"/>
      <c r="R487" s="9"/>
      <c r="S487" s="9"/>
      <c r="T487" s="37"/>
      <c r="U487" s="37"/>
      <c r="V487" s="37"/>
      <c r="W487" s="37"/>
      <c r="X487" s="37"/>
      <c r="Y487" s="37"/>
      <c r="Z48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7" s="37"/>
      <c r="AB487" s="713" t="str">
        <f>IF(COUNTA(SalCommune[[#This Row],[Nom]:[heures annuelles
selon contrat(s)]])=0,"",SalCommune[[#This Row],[Total global]]-ABS(SalCommune[[#This Row],[Dont non opposable]]))</f>
        <v/>
      </c>
      <c r="AC487" s="8"/>
      <c r="AD487" s="63"/>
      <c r="AE487" s="430"/>
      <c r="AF487" s="430"/>
      <c r="AG487" s="430"/>
      <c r="AH487" s="181"/>
      <c r="AI487" s="194">
        <f>IF(COUNTA(SalCommune[[#This Row],[N°]:[heures annuelles
selon contrat(s)]])=0,"",REVEX!$E$9)</f>
        <v>0</v>
      </c>
      <c r="AJ487" s="72"/>
    </row>
    <row r="488" spans="1:36" x14ac:dyDescent="0.25">
      <c r="A488" s="72"/>
      <c r="B488" s="725" t="str">
        <f>IF(SalCommune[[#This Row],[Matricule]]="","",MAX($B$7:B487)+1)</f>
        <v/>
      </c>
      <c r="C488" s="8"/>
      <c r="D488" s="8"/>
      <c r="E488" s="20"/>
      <c r="F488" s="8"/>
      <c r="G488" s="8"/>
      <c r="H488" s="9"/>
      <c r="I488" s="9"/>
      <c r="J488" s="9"/>
      <c r="K488" s="714"/>
      <c r="L488" s="714"/>
      <c r="M488" s="9"/>
      <c r="N488" s="9"/>
      <c r="O488" s="9"/>
      <c r="P48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8" s="9"/>
      <c r="R488" s="9"/>
      <c r="S488" s="9"/>
      <c r="T488" s="37"/>
      <c r="U488" s="37"/>
      <c r="V488" s="37"/>
      <c r="W488" s="37"/>
      <c r="X488" s="37"/>
      <c r="Y488" s="37"/>
      <c r="Z48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8" s="37"/>
      <c r="AB488" s="713" t="str">
        <f>IF(COUNTA(SalCommune[[#This Row],[Nom]:[heures annuelles
selon contrat(s)]])=0,"",SalCommune[[#This Row],[Total global]]-ABS(SalCommune[[#This Row],[Dont non opposable]]))</f>
        <v/>
      </c>
      <c r="AC488" s="8"/>
      <c r="AD488" s="63"/>
      <c r="AE488" s="430"/>
      <c r="AF488" s="430"/>
      <c r="AG488" s="430"/>
      <c r="AH488" s="181"/>
      <c r="AI488" s="194">
        <f>IF(COUNTA(SalCommune[[#This Row],[N°]:[heures annuelles
selon contrat(s)]])=0,"",REVEX!$E$9)</f>
        <v>0</v>
      </c>
      <c r="AJ488" s="72"/>
    </row>
    <row r="489" spans="1:36" x14ac:dyDescent="0.25">
      <c r="A489" s="72"/>
      <c r="B489" s="725" t="str">
        <f>IF(SalCommune[[#This Row],[Matricule]]="","",MAX($B$7:B488)+1)</f>
        <v/>
      </c>
      <c r="C489" s="8"/>
      <c r="D489" s="8"/>
      <c r="E489" s="20"/>
      <c r="F489" s="8"/>
      <c r="G489" s="8"/>
      <c r="H489" s="9"/>
      <c r="I489" s="9"/>
      <c r="J489" s="9"/>
      <c r="K489" s="714"/>
      <c r="L489" s="714"/>
      <c r="M489" s="9"/>
      <c r="N489" s="9"/>
      <c r="O489" s="9"/>
      <c r="P48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89" s="9"/>
      <c r="R489" s="9"/>
      <c r="S489" s="9"/>
      <c r="T489" s="37"/>
      <c r="U489" s="37"/>
      <c r="V489" s="37"/>
      <c r="W489" s="37"/>
      <c r="X489" s="37"/>
      <c r="Y489" s="37"/>
      <c r="Z48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89" s="37"/>
      <c r="AB489" s="713" t="str">
        <f>IF(COUNTA(SalCommune[[#This Row],[Nom]:[heures annuelles
selon contrat(s)]])=0,"",SalCommune[[#This Row],[Total global]]-ABS(SalCommune[[#This Row],[Dont non opposable]]))</f>
        <v/>
      </c>
      <c r="AC489" s="8"/>
      <c r="AD489" s="63"/>
      <c r="AE489" s="430"/>
      <c r="AF489" s="430"/>
      <c r="AG489" s="430"/>
      <c r="AH489" s="181"/>
      <c r="AI489" s="194">
        <f>IF(COUNTA(SalCommune[[#This Row],[N°]:[heures annuelles
selon contrat(s)]])=0,"",REVEX!$E$9)</f>
        <v>0</v>
      </c>
      <c r="AJ489" s="72"/>
    </row>
    <row r="490" spans="1:36" x14ac:dyDescent="0.25">
      <c r="A490" s="72"/>
      <c r="B490" s="725" t="str">
        <f>IF(SalCommune[[#This Row],[Matricule]]="","",MAX($B$7:B489)+1)</f>
        <v/>
      </c>
      <c r="C490" s="8"/>
      <c r="D490" s="8"/>
      <c r="E490" s="20"/>
      <c r="F490" s="8"/>
      <c r="G490" s="8"/>
      <c r="H490" s="9"/>
      <c r="I490" s="9"/>
      <c r="J490" s="9"/>
      <c r="K490" s="714"/>
      <c r="L490" s="714"/>
      <c r="M490" s="9"/>
      <c r="N490" s="9"/>
      <c r="O490" s="9"/>
      <c r="P49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0" s="9"/>
      <c r="R490" s="9"/>
      <c r="S490" s="9"/>
      <c r="T490" s="37"/>
      <c r="U490" s="37"/>
      <c r="V490" s="37"/>
      <c r="W490" s="37"/>
      <c r="X490" s="37"/>
      <c r="Y490" s="37"/>
      <c r="Z49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0" s="37"/>
      <c r="AB490" s="713" t="str">
        <f>IF(COUNTA(SalCommune[[#This Row],[Nom]:[heures annuelles
selon contrat(s)]])=0,"",SalCommune[[#This Row],[Total global]]-ABS(SalCommune[[#This Row],[Dont non opposable]]))</f>
        <v/>
      </c>
      <c r="AC490" s="8"/>
      <c r="AD490" s="63"/>
      <c r="AE490" s="430"/>
      <c r="AF490" s="430"/>
      <c r="AG490" s="430"/>
      <c r="AH490" s="181"/>
      <c r="AI490" s="194">
        <f>IF(COUNTA(SalCommune[[#This Row],[N°]:[heures annuelles
selon contrat(s)]])=0,"",REVEX!$E$9)</f>
        <v>0</v>
      </c>
      <c r="AJ490" s="72"/>
    </row>
    <row r="491" spans="1:36" x14ac:dyDescent="0.25">
      <c r="A491" s="72"/>
      <c r="B491" s="725" t="str">
        <f>IF(SalCommune[[#This Row],[Matricule]]="","",MAX($B$7:B490)+1)</f>
        <v/>
      </c>
      <c r="C491" s="8"/>
      <c r="D491" s="8"/>
      <c r="E491" s="20"/>
      <c r="F491" s="8"/>
      <c r="G491" s="8"/>
      <c r="H491" s="9"/>
      <c r="I491" s="9"/>
      <c r="J491" s="9"/>
      <c r="K491" s="714"/>
      <c r="L491" s="714"/>
      <c r="M491" s="9"/>
      <c r="N491" s="9"/>
      <c r="O491" s="9"/>
      <c r="P49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1" s="9"/>
      <c r="R491" s="9"/>
      <c r="S491" s="9"/>
      <c r="T491" s="37"/>
      <c r="U491" s="37"/>
      <c r="V491" s="37"/>
      <c r="W491" s="37"/>
      <c r="X491" s="37"/>
      <c r="Y491" s="37"/>
      <c r="Z49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1" s="37"/>
      <c r="AB491" s="713" t="str">
        <f>IF(COUNTA(SalCommune[[#This Row],[Nom]:[heures annuelles
selon contrat(s)]])=0,"",SalCommune[[#This Row],[Total global]]-ABS(SalCommune[[#This Row],[Dont non opposable]]))</f>
        <v/>
      </c>
      <c r="AC491" s="8"/>
      <c r="AD491" s="63"/>
      <c r="AE491" s="430"/>
      <c r="AF491" s="430"/>
      <c r="AG491" s="430"/>
      <c r="AH491" s="181"/>
      <c r="AI491" s="194">
        <f>IF(COUNTA(SalCommune[[#This Row],[N°]:[heures annuelles
selon contrat(s)]])=0,"",REVEX!$E$9)</f>
        <v>0</v>
      </c>
      <c r="AJ491" s="72"/>
    </row>
    <row r="492" spans="1:36" x14ac:dyDescent="0.25">
      <c r="A492" s="72"/>
      <c r="B492" s="725" t="str">
        <f>IF(SalCommune[[#This Row],[Matricule]]="","",MAX($B$7:B491)+1)</f>
        <v/>
      </c>
      <c r="C492" s="8"/>
      <c r="D492" s="8"/>
      <c r="E492" s="20"/>
      <c r="F492" s="8"/>
      <c r="G492" s="8"/>
      <c r="H492" s="9"/>
      <c r="I492" s="9"/>
      <c r="J492" s="9"/>
      <c r="K492" s="714"/>
      <c r="L492" s="714"/>
      <c r="M492" s="9"/>
      <c r="N492" s="9"/>
      <c r="O492" s="9"/>
      <c r="P49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2" s="9"/>
      <c r="R492" s="9"/>
      <c r="S492" s="9"/>
      <c r="T492" s="37"/>
      <c r="U492" s="37"/>
      <c r="V492" s="37"/>
      <c r="W492" s="37"/>
      <c r="X492" s="37"/>
      <c r="Y492" s="37"/>
      <c r="Z49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2" s="37"/>
      <c r="AB492" s="713" t="str">
        <f>IF(COUNTA(SalCommune[[#This Row],[Nom]:[heures annuelles
selon contrat(s)]])=0,"",SalCommune[[#This Row],[Total global]]-ABS(SalCommune[[#This Row],[Dont non opposable]]))</f>
        <v/>
      </c>
      <c r="AC492" s="8"/>
      <c r="AD492" s="63"/>
      <c r="AE492" s="430"/>
      <c r="AF492" s="430"/>
      <c r="AG492" s="430"/>
      <c r="AH492" s="181"/>
      <c r="AI492" s="194">
        <f>IF(COUNTA(SalCommune[[#This Row],[N°]:[heures annuelles
selon contrat(s)]])=0,"",REVEX!$E$9)</f>
        <v>0</v>
      </c>
      <c r="AJ492" s="72"/>
    </row>
    <row r="493" spans="1:36" x14ac:dyDescent="0.25">
      <c r="A493" s="72"/>
      <c r="B493" s="725" t="str">
        <f>IF(SalCommune[[#This Row],[Matricule]]="","",MAX($B$7:B492)+1)</f>
        <v/>
      </c>
      <c r="C493" s="8"/>
      <c r="D493" s="8"/>
      <c r="E493" s="20"/>
      <c r="F493" s="8"/>
      <c r="G493" s="8"/>
      <c r="H493" s="9"/>
      <c r="I493" s="9"/>
      <c r="J493" s="9"/>
      <c r="K493" s="714"/>
      <c r="L493" s="714"/>
      <c r="M493" s="9"/>
      <c r="N493" s="9"/>
      <c r="O493" s="9"/>
      <c r="P49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3" s="9"/>
      <c r="R493" s="9"/>
      <c r="S493" s="9"/>
      <c r="T493" s="37"/>
      <c r="U493" s="37"/>
      <c r="V493" s="37"/>
      <c r="W493" s="37"/>
      <c r="X493" s="37"/>
      <c r="Y493" s="37"/>
      <c r="Z49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3" s="37"/>
      <c r="AB493" s="713" t="str">
        <f>IF(COUNTA(SalCommune[[#This Row],[Nom]:[heures annuelles
selon contrat(s)]])=0,"",SalCommune[[#This Row],[Total global]]-ABS(SalCommune[[#This Row],[Dont non opposable]]))</f>
        <v/>
      </c>
      <c r="AC493" s="8"/>
      <c r="AD493" s="63"/>
      <c r="AE493" s="430"/>
      <c r="AF493" s="430"/>
      <c r="AG493" s="430"/>
      <c r="AH493" s="181"/>
      <c r="AI493" s="194">
        <f>IF(COUNTA(SalCommune[[#This Row],[N°]:[heures annuelles
selon contrat(s)]])=0,"",REVEX!$E$9)</f>
        <v>0</v>
      </c>
      <c r="AJ493" s="72"/>
    </row>
    <row r="494" spans="1:36" x14ac:dyDescent="0.25">
      <c r="A494" s="72"/>
      <c r="B494" s="725" t="str">
        <f>IF(SalCommune[[#This Row],[Matricule]]="","",MAX($B$7:B493)+1)</f>
        <v/>
      </c>
      <c r="C494" s="8"/>
      <c r="D494" s="8"/>
      <c r="E494" s="20"/>
      <c r="F494" s="8"/>
      <c r="G494" s="8"/>
      <c r="H494" s="9"/>
      <c r="I494" s="9"/>
      <c r="J494" s="9"/>
      <c r="K494" s="714"/>
      <c r="L494" s="714"/>
      <c r="M494" s="9"/>
      <c r="N494" s="9"/>
      <c r="O494" s="9"/>
      <c r="P49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4" s="9"/>
      <c r="R494" s="9"/>
      <c r="S494" s="9"/>
      <c r="T494" s="37"/>
      <c r="U494" s="37"/>
      <c r="V494" s="37"/>
      <c r="W494" s="37"/>
      <c r="X494" s="37"/>
      <c r="Y494" s="37"/>
      <c r="Z49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4" s="37"/>
      <c r="AB494" s="713" t="str">
        <f>IF(COUNTA(SalCommune[[#This Row],[Nom]:[heures annuelles
selon contrat(s)]])=0,"",SalCommune[[#This Row],[Total global]]-ABS(SalCommune[[#This Row],[Dont non opposable]]))</f>
        <v/>
      </c>
      <c r="AC494" s="8"/>
      <c r="AD494" s="63"/>
      <c r="AE494" s="430"/>
      <c r="AF494" s="430"/>
      <c r="AG494" s="430"/>
      <c r="AH494" s="181"/>
      <c r="AI494" s="194">
        <f>IF(COUNTA(SalCommune[[#This Row],[N°]:[heures annuelles
selon contrat(s)]])=0,"",REVEX!$E$9)</f>
        <v>0</v>
      </c>
      <c r="AJ494" s="72"/>
    </row>
    <row r="495" spans="1:36" x14ac:dyDescent="0.25">
      <c r="A495" s="72"/>
      <c r="B495" s="725" t="str">
        <f>IF(SalCommune[[#This Row],[Matricule]]="","",MAX($B$7:B494)+1)</f>
        <v/>
      </c>
      <c r="C495" s="8"/>
      <c r="D495" s="8"/>
      <c r="E495" s="20"/>
      <c r="F495" s="8"/>
      <c r="G495" s="8"/>
      <c r="H495" s="9"/>
      <c r="I495" s="9"/>
      <c r="J495" s="9"/>
      <c r="K495" s="714"/>
      <c r="L495" s="714"/>
      <c r="M495" s="9"/>
      <c r="N495" s="9"/>
      <c r="O495" s="9"/>
      <c r="P49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5" s="9"/>
      <c r="R495" s="9"/>
      <c r="S495" s="9"/>
      <c r="T495" s="37"/>
      <c r="U495" s="37"/>
      <c r="V495" s="37"/>
      <c r="W495" s="37"/>
      <c r="X495" s="37"/>
      <c r="Y495" s="37"/>
      <c r="Z49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5" s="37"/>
      <c r="AB495" s="713" t="str">
        <f>IF(COUNTA(SalCommune[[#This Row],[Nom]:[heures annuelles
selon contrat(s)]])=0,"",SalCommune[[#This Row],[Total global]]-ABS(SalCommune[[#This Row],[Dont non opposable]]))</f>
        <v/>
      </c>
      <c r="AC495" s="8"/>
      <c r="AD495" s="63"/>
      <c r="AE495" s="430"/>
      <c r="AF495" s="430"/>
      <c r="AG495" s="430"/>
      <c r="AH495" s="181"/>
      <c r="AI495" s="194">
        <f>IF(COUNTA(SalCommune[[#This Row],[N°]:[heures annuelles
selon contrat(s)]])=0,"",REVEX!$E$9)</f>
        <v>0</v>
      </c>
      <c r="AJ495" s="72"/>
    </row>
    <row r="496" spans="1:36" x14ac:dyDescent="0.25">
      <c r="A496" s="72"/>
      <c r="B496" s="725" t="str">
        <f>IF(SalCommune[[#This Row],[Matricule]]="","",MAX($B$7:B495)+1)</f>
        <v/>
      </c>
      <c r="C496" s="8"/>
      <c r="D496" s="8"/>
      <c r="E496" s="20"/>
      <c r="F496" s="8"/>
      <c r="G496" s="8"/>
      <c r="H496" s="9"/>
      <c r="I496" s="9"/>
      <c r="J496" s="9"/>
      <c r="K496" s="714"/>
      <c r="L496" s="714"/>
      <c r="M496" s="9"/>
      <c r="N496" s="9"/>
      <c r="O496" s="9"/>
      <c r="P49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6" s="9"/>
      <c r="R496" s="9"/>
      <c r="S496" s="9"/>
      <c r="T496" s="37"/>
      <c r="U496" s="37"/>
      <c r="V496" s="37"/>
      <c r="W496" s="37"/>
      <c r="X496" s="37"/>
      <c r="Y496" s="37"/>
      <c r="Z49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6" s="37"/>
      <c r="AB496" s="713" t="str">
        <f>IF(COUNTA(SalCommune[[#This Row],[Nom]:[heures annuelles
selon contrat(s)]])=0,"",SalCommune[[#This Row],[Total global]]-ABS(SalCommune[[#This Row],[Dont non opposable]]))</f>
        <v/>
      </c>
      <c r="AC496" s="8"/>
      <c r="AD496" s="63"/>
      <c r="AE496" s="430"/>
      <c r="AF496" s="430"/>
      <c r="AG496" s="430"/>
      <c r="AH496" s="181"/>
      <c r="AI496" s="194">
        <f>IF(COUNTA(SalCommune[[#This Row],[N°]:[heures annuelles
selon contrat(s)]])=0,"",REVEX!$E$9)</f>
        <v>0</v>
      </c>
      <c r="AJ496" s="72"/>
    </row>
    <row r="497" spans="1:36" x14ac:dyDescent="0.25">
      <c r="A497" s="72"/>
      <c r="B497" s="725" t="str">
        <f>IF(SalCommune[[#This Row],[Matricule]]="","",MAX($B$7:B496)+1)</f>
        <v/>
      </c>
      <c r="C497" s="8"/>
      <c r="D497" s="8"/>
      <c r="E497" s="20"/>
      <c r="F497" s="8"/>
      <c r="G497" s="8"/>
      <c r="H497" s="9"/>
      <c r="I497" s="9"/>
      <c r="J497" s="9"/>
      <c r="K497" s="714"/>
      <c r="L497" s="714"/>
      <c r="M497" s="9"/>
      <c r="N497" s="9"/>
      <c r="O497" s="9"/>
      <c r="P49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7" s="9"/>
      <c r="R497" s="9"/>
      <c r="S497" s="9"/>
      <c r="T497" s="37"/>
      <c r="U497" s="37"/>
      <c r="V497" s="37"/>
      <c r="W497" s="37"/>
      <c r="X497" s="37"/>
      <c r="Y497" s="37"/>
      <c r="Z49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7" s="37"/>
      <c r="AB497" s="713" t="str">
        <f>IF(COUNTA(SalCommune[[#This Row],[Nom]:[heures annuelles
selon contrat(s)]])=0,"",SalCommune[[#This Row],[Total global]]-ABS(SalCommune[[#This Row],[Dont non opposable]]))</f>
        <v/>
      </c>
      <c r="AC497" s="8"/>
      <c r="AD497" s="63"/>
      <c r="AE497" s="430"/>
      <c r="AF497" s="430"/>
      <c r="AG497" s="430"/>
      <c r="AH497" s="181"/>
      <c r="AI497" s="194">
        <f>IF(COUNTA(SalCommune[[#This Row],[N°]:[heures annuelles
selon contrat(s)]])=0,"",REVEX!$E$9)</f>
        <v>0</v>
      </c>
      <c r="AJ497" s="72"/>
    </row>
    <row r="498" spans="1:36" x14ac:dyDescent="0.25">
      <c r="A498" s="72"/>
      <c r="B498" s="725" t="str">
        <f>IF(SalCommune[[#This Row],[Matricule]]="","",MAX($B$7:B497)+1)</f>
        <v/>
      </c>
      <c r="C498" s="8"/>
      <c r="D498" s="8"/>
      <c r="E498" s="20"/>
      <c r="F498" s="8"/>
      <c r="G498" s="8"/>
      <c r="H498" s="9"/>
      <c r="I498" s="9"/>
      <c r="J498" s="9"/>
      <c r="K498" s="714"/>
      <c r="L498" s="714"/>
      <c r="M498" s="9"/>
      <c r="N498" s="9"/>
      <c r="O498" s="9"/>
      <c r="P49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8" s="9"/>
      <c r="R498" s="9"/>
      <c r="S498" s="9"/>
      <c r="T498" s="37"/>
      <c r="U498" s="37"/>
      <c r="V498" s="37"/>
      <c r="W498" s="37"/>
      <c r="X498" s="37"/>
      <c r="Y498" s="37"/>
      <c r="Z49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8" s="37"/>
      <c r="AB498" s="713" t="str">
        <f>IF(COUNTA(SalCommune[[#This Row],[Nom]:[heures annuelles
selon contrat(s)]])=0,"",SalCommune[[#This Row],[Total global]]-ABS(SalCommune[[#This Row],[Dont non opposable]]))</f>
        <v/>
      </c>
      <c r="AC498" s="8"/>
      <c r="AD498" s="63"/>
      <c r="AE498" s="430"/>
      <c r="AF498" s="430"/>
      <c r="AG498" s="430"/>
      <c r="AH498" s="181"/>
      <c r="AI498" s="194">
        <f>IF(COUNTA(SalCommune[[#This Row],[N°]:[heures annuelles
selon contrat(s)]])=0,"",REVEX!$E$9)</f>
        <v>0</v>
      </c>
      <c r="AJ498" s="72"/>
    </row>
    <row r="499" spans="1:36" x14ac:dyDescent="0.25">
      <c r="A499" s="72"/>
      <c r="B499" s="725" t="str">
        <f>IF(SalCommune[[#This Row],[Matricule]]="","",MAX($B$7:B498)+1)</f>
        <v/>
      </c>
      <c r="C499" s="8"/>
      <c r="D499" s="8"/>
      <c r="E499" s="20"/>
      <c r="F499" s="8"/>
      <c r="G499" s="8"/>
      <c r="H499" s="9"/>
      <c r="I499" s="9"/>
      <c r="J499" s="9"/>
      <c r="K499" s="714"/>
      <c r="L499" s="714"/>
      <c r="M499" s="9"/>
      <c r="N499" s="9"/>
      <c r="O499" s="9"/>
      <c r="P49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499" s="9"/>
      <c r="R499" s="9"/>
      <c r="S499" s="9"/>
      <c r="T499" s="37"/>
      <c r="U499" s="37"/>
      <c r="V499" s="37"/>
      <c r="W499" s="37"/>
      <c r="X499" s="37"/>
      <c r="Y499" s="37"/>
      <c r="Z49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499" s="37"/>
      <c r="AB499" s="713" t="str">
        <f>IF(COUNTA(SalCommune[[#This Row],[Nom]:[heures annuelles
selon contrat(s)]])=0,"",SalCommune[[#This Row],[Total global]]-ABS(SalCommune[[#This Row],[Dont non opposable]]))</f>
        <v/>
      </c>
      <c r="AC499" s="8"/>
      <c r="AD499" s="63"/>
      <c r="AE499" s="430"/>
      <c r="AF499" s="430"/>
      <c r="AG499" s="430"/>
      <c r="AH499" s="181"/>
      <c r="AI499" s="194">
        <f>IF(COUNTA(SalCommune[[#This Row],[N°]:[heures annuelles
selon contrat(s)]])=0,"",REVEX!$E$9)</f>
        <v>0</v>
      </c>
      <c r="AJ499" s="72"/>
    </row>
    <row r="500" spans="1:36" x14ac:dyDescent="0.25">
      <c r="A500" s="72"/>
      <c r="B500" s="725" t="str">
        <f>IF(SalCommune[[#This Row],[Matricule]]="","",MAX($B$7:B499)+1)</f>
        <v/>
      </c>
      <c r="C500" s="8"/>
      <c r="D500" s="8"/>
      <c r="E500" s="20"/>
      <c r="F500" s="8"/>
      <c r="G500" s="8"/>
      <c r="H500" s="9"/>
      <c r="I500" s="9"/>
      <c r="J500" s="9"/>
      <c r="K500" s="714"/>
      <c r="L500" s="714"/>
      <c r="M500" s="9"/>
      <c r="N500" s="9"/>
      <c r="O500" s="9"/>
      <c r="P50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0" s="9"/>
      <c r="R500" s="9"/>
      <c r="S500" s="9"/>
      <c r="T500" s="37"/>
      <c r="U500" s="37"/>
      <c r="V500" s="37"/>
      <c r="W500" s="37"/>
      <c r="X500" s="37"/>
      <c r="Y500" s="37"/>
      <c r="Z50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0" s="37"/>
      <c r="AB500" s="713" t="str">
        <f>IF(COUNTA(SalCommune[[#This Row],[Nom]:[heures annuelles
selon contrat(s)]])=0,"",SalCommune[[#This Row],[Total global]]-ABS(SalCommune[[#This Row],[Dont non opposable]]))</f>
        <v/>
      </c>
      <c r="AC500" s="8"/>
      <c r="AD500" s="63"/>
      <c r="AE500" s="430"/>
      <c r="AF500" s="430"/>
      <c r="AG500" s="430"/>
      <c r="AH500" s="181"/>
      <c r="AI500" s="194">
        <f>IF(COUNTA(SalCommune[[#This Row],[N°]:[heures annuelles
selon contrat(s)]])=0,"",REVEX!$E$9)</f>
        <v>0</v>
      </c>
      <c r="AJ500" s="72"/>
    </row>
    <row r="501" spans="1:36" x14ac:dyDescent="0.25">
      <c r="A501" s="72"/>
      <c r="B501" s="725" t="str">
        <f>IF(SalCommune[[#This Row],[Matricule]]="","",MAX($B$7:B500)+1)</f>
        <v/>
      </c>
      <c r="C501" s="8"/>
      <c r="D501" s="8"/>
      <c r="E501" s="20"/>
      <c r="F501" s="8"/>
      <c r="G501" s="8"/>
      <c r="H501" s="9"/>
      <c r="I501" s="9"/>
      <c r="J501" s="9"/>
      <c r="K501" s="714"/>
      <c r="L501" s="714"/>
      <c r="M501" s="9"/>
      <c r="N501" s="9"/>
      <c r="O501" s="9"/>
      <c r="P50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1" s="9"/>
      <c r="R501" s="9"/>
      <c r="S501" s="9"/>
      <c r="T501" s="37"/>
      <c r="U501" s="37"/>
      <c r="V501" s="37"/>
      <c r="W501" s="37"/>
      <c r="X501" s="37"/>
      <c r="Y501" s="37"/>
      <c r="Z50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1" s="37"/>
      <c r="AB501" s="713" t="str">
        <f>IF(COUNTA(SalCommune[[#This Row],[Nom]:[heures annuelles
selon contrat(s)]])=0,"",SalCommune[[#This Row],[Total global]]-ABS(SalCommune[[#This Row],[Dont non opposable]]))</f>
        <v/>
      </c>
      <c r="AC501" s="8"/>
      <c r="AD501" s="63"/>
      <c r="AE501" s="430"/>
      <c r="AF501" s="430"/>
      <c r="AG501" s="430"/>
      <c r="AH501" s="181"/>
      <c r="AI501" s="194">
        <f>IF(COUNTA(SalCommune[[#This Row],[N°]:[heures annuelles
selon contrat(s)]])=0,"",REVEX!$E$9)</f>
        <v>0</v>
      </c>
      <c r="AJ501" s="72"/>
    </row>
    <row r="502" spans="1:36" x14ac:dyDescent="0.25">
      <c r="A502" s="72"/>
      <c r="B502" s="725" t="str">
        <f>IF(SalCommune[[#This Row],[Matricule]]="","",MAX($B$7:B501)+1)</f>
        <v/>
      </c>
      <c r="C502" s="8"/>
      <c r="D502" s="8"/>
      <c r="E502" s="20"/>
      <c r="F502" s="8"/>
      <c r="G502" s="8"/>
      <c r="H502" s="9"/>
      <c r="I502" s="9"/>
      <c r="J502" s="9"/>
      <c r="K502" s="714"/>
      <c r="L502" s="714"/>
      <c r="M502" s="9"/>
      <c r="N502" s="9"/>
      <c r="O502" s="9"/>
      <c r="P50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2" s="9"/>
      <c r="R502" s="9"/>
      <c r="S502" s="9"/>
      <c r="T502" s="37"/>
      <c r="U502" s="37"/>
      <c r="V502" s="37"/>
      <c r="W502" s="37"/>
      <c r="X502" s="37"/>
      <c r="Y502" s="37"/>
      <c r="Z50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2" s="37"/>
      <c r="AB502" s="713" t="str">
        <f>IF(COUNTA(SalCommune[[#This Row],[Nom]:[heures annuelles
selon contrat(s)]])=0,"",SalCommune[[#This Row],[Total global]]-ABS(SalCommune[[#This Row],[Dont non opposable]]))</f>
        <v/>
      </c>
      <c r="AC502" s="8"/>
      <c r="AD502" s="63"/>
      <c r="AE502" s="430"/>
      <c r="AF502" s="430"/>
      <c r="AG502" s="430"/>
      <c r="AH502" s="181"/>
      <c r="AI502" s="194">
        <f>IF(COUNTA(SalCommune[[#This Row],[N°]:[heures annuelles
selon contrat(s)]])=0,"",REVEX!$E$9)</f>
        <v>0</v>
      </c>
      <c r="AJ502" s="72"/>
    </row>
    <row r="503" spans="1:36" x14ac:dyDescent="0.25">
      <c r="A503" s="72"/>
      <c r="B503" s="725" t="str">
        <f>IF(SalCommune[[#This Row],[Matricule]]="","",MAX($B$7:B502)+1)</f>
        <v/>
      </c>
      <c r="C503" s="8"/>
      <c r="D503" s="8"/>
      <c r="E503" s="20"/>
      <c r="F503" s="8"/>
      <c r="G503" s="8"/>
      <c r="H503" s="9"/>
      <c r="I503" s="9"/>
      <c r="J503" s="9"/>
      <c r="K503" s="714"/>
      <c r="L503" s="714"/>
      <c r="M503" s="9"/>
      <c r="N503" s="9"/>
      <c r="O503" s="9"/>
      <c r="P50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3" s="9"/>
      <c r="R503" s="9"/>
      <c r="S503" s="9"/>
      <c r="T503" s="37"/>
      <c r="U503" s="37"/>
      <c r="V503" s="37"/>
      <c r="W503" s="37"/>
      <c r="X503" s="37"/>
      <c r="Y503" s="37"/>
      <c r="Z50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3" s="37"/>
      <c r="AB503" s="713" t="str">
        <f>IF(COUNTA(SalCommune[[#This Row],[Nom]:[heures annuelles
selon contrat(s)]])=0,"",SalCommune[[#This Row],[Total global]]-ABS(SalCommune[[#This Row],[Dont non opposable]]))</f>
        <v/>
      </c>
      <c r="AC503" s="8"/>
      <c r="AD503" s="63"/>
      <c r="AE503" s="430"/>
      <c r="AF503" s="430"/>
      <c r="AG503" s="430"/>
      <c r="AH503" s="181"/>
      <c r="AI503" s="194">
        <f>IF(COUNTA(SalCommune[[#This Row],[N°]:[heures annuelles
selon contrat(s)]])=0,"",REVEX!$E$9)</f>
        <v>0</v>
      </c>
      <c r="AJ503" s="72"/>
    </row>
    <row r="504" spans="1:36" x14ac:dyDescent="0.25">
      <c r="A504" s="72"/>
      <c r="B504" s="725" t="str">
        <f>IF(SalCommune[[#This Row],[Matricule]]="","",MAX($B$7:B503)+1)</f>
        <v/>
      </c>
      <c r="C504" s="8"/>
      <c r="D504" s="8"/>
      <c r="E504" s="20"/>
      <c r="F504" s="8"/>
      <c r="G504" s="8"/>
      <c r="H504" s="9"/>
      <c r="I504" s="9"/>
      <c r="J504" s="9"/>
      <c r="K504" s="714"/>
      <c r="L504" s="714"/>
      <c r="M504" s="9"/>
      <c r="N504" s="9"/>
      <c r="O504" s="9"/>
      <c r="P50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4" s="9"/>
      <c r="R504" s="9"/>
      <c r="S504" s="9"/>
      <c r="T504" s="37"/>
      <c r="U504" s="37"/>
      <c r="V504" s="37"/>
      <c r="W504" s="37"/>
      <c r="X504" s="37"/>
      <c r="Y504" s="37"/>
      <c r="Z50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4" s="37"/>
      <c r="AB504" s="713" t="str">
        <f>IF(COUNTA(SalCommune[[#This Row],[Nom]:[heures annuelles
selon contrat(s)]])=0,"",SalCommune[[#This Row],[Total global]]-ABS(SalCommune[[#This Row],[Dont non opposable]]))</f>
        <v/>
      </c>
      <c r="AC504" s="8"/>
      <c r="AD504" s="63"/>
      <c r="AE504" s="430"/>
      <c r="AF504" s="430"/>
      <c r="AG504" s="430"/>
      <c r="AH504" s="181"/>
      <c r="AI504" s="194">
        <f>IF(COUNTA(SalCommune[[#This Row],[N°]:[heures annuelles
selon contrat(s)]])=0,"",REVEX!$E$9)</f>
        <v>0</v>
      </c>
      <c r="AJ504" s="72"/>
    </row>
    <row r="505" spans="1:36" x14ac:dyDescent="0.25">
      <c r="A505" s="72"/>
      <c r="B505" s="725" t="str">
        <f>IF(SalCommune[[#This Row],[Matricule]]="","",MAX($B$7:B504)+1)</f>
        <v/>
      </c>
      <c r="C505" s="8"/>
      <c r="D505" s="8"/>
      <c r="E505" s="20"/>
      <c r="F505" s="8"/>
      <c r="G505" s="8"/>
      <c r="H505" s="9"/>
      <c r="I505" s="9"/>
      <c r="J505" s="9"/>
      <c r="K505" s="714"/>
      <c r="L505" s="714"/>
      <c r="M505" s="9"/>
      <c r="N505" s="9"/>
      <c r="O505" s="9"/>
      <c r="P50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5" s="9"/>
      <c r="R505" s="9"/>
      <c r="S505" s="9"/>
      <c r="T505" s="37"/>
      <c r="U505" s="37"/>
      <c r="V505" s="37"/>
      <c r="W505" s="37"/>
      <c r="X505" s="37"/>
      <c r="Y505" s="37"/>
      <c r="Z50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5" s="37"/>
      <c r="AB505" s="713" t="str">
        <f>IF(COUNTA(SalCommune[[#This Row],[Nom]:[heures annuelles
selon contrat(s)]])=0,"",SalCommune[[#This Row],[Total global]]-ABS(SalCommune[[#This Row],[Dont non opposable]]))</f>
        <v/>
      </c>
      <c r="AC505" s="8"/>
      <c r="AD505" s="63"/>
      <c r="AE505" s="430"/>
      <c r="AF505" s="430"/>
      <c r="AG505" s="430"/>
      <c r="AH505" s="181"/>
      <c r="AI505" s="194">
        <f>IF(COUNTA(SalCommune[[#This Row],[N°]:[heures annuelles
selon contrat(s)]])=0,"",REVEX!$E$9)</f>
        <v>0</v>
      </c>
      <c r="AJ505" s="72"/>
    </row>
    <row r="506" spans="1:36" x14ac:dyDescent="0.25">
      <c r="A506" s="72"/>
      <c r="B506" s="725" t="str">
        <f>IF(SalCommune[[#This Row],[Matricule]]="","",MAX($B$7:B505)+1)</f>
        <v/>
      </c>
      <c r="C506" s="8"/>
      <c r="D506" s="8"/>
      <c r="E506" s="20"/>
      <c r="F506" s="8"/>
      <c r="G506" s="8"/>
      <c r="H506" s="9"/>
      <c r="I506" s="9"/>
      <c r="J506" s="9"/>
      <c r="K506" s="714"/>
      <c r="L506" s="714"/>
      <c r="M506" s="9"/>
      <c r="N506" s="9"/>
      <c r="O506" s="9"/>
      <c r="P50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6" s="9"/>
      <c r="R506" s="9"/>
      <c r="S506" s="9"/>
      <c r="T506" s="37"/>
      <c r="U506" s="37"/>
      <c r="V506" s="37"/>
      <c r="W506" s="37"/>
      <c r="X506" s="37"/>
      <c r="Y506" s="37"/>
      <c r="Z50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6" s="37"/>
      <c r="AB506" s="713" t="str">
        <f>IF(COUNTA(SalCommune[[#This Row],[Nom]:[heures annuelles
selon contrat(s)]])=0,"",SalCommune[[#This Row],[Total global]]-ABS(SalCommune[[#This Row],[Dont non opposable]]))</f>
        <v/>
      </c>
      <c r="AC506" s="8"/>
      <c r="AD506" s="63"/>
      <c r="AE506" s="430"/>
      <c r="AF506" s="430"/>
      <c r="AG506" s="430"/>
      <c r="AH506" s="181"/>
      <c r="AI506" s="194">
        <f>IF(COUNTA(SalCommune[[#This Row],[N°]:[heures annuelles
selon contrat(s)]])=0,"",REVEX!$E$9)</f>
        <v>0</v>
      </c>
      <c r="AJ506" s="72"/>
    </row>
    <row r="507" spans="1:36" x14ac:dyDescent="0.25">
      <c r="A507" s="72"/>
      <c r="B507" s="725" t="str">
        <f>IF(SalCommune[[#This Row],[Matricule]]="","",MAX($B$7:B506)+1)</f>
        <v/>
      </c>
      <c r="C507" s="8"/>
      <c r="D507" s="8"/>
      <c r="E507" s="20"/>
      <c r="F507" s="8"/>
      <c r="G507" s="8"/>
      <c r="H507" s="9"/>
      <c r="I507" s="9"/>
      <c r="J507" s="9"/>
      <c r="K507" s="714"/>
      <c r="L507" s="714"/>
      <c r="M507" s="9"/>
      <c r="N507" s="9"/>
      <c r="O507" s="9"/>
      <c r="P50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7" s="9"/>
      <c r="R507" s="9"/>
      <c r="S507" s="9"/>
      <c r="T507" s="37"/>
      <c r="U507" s="37"/>
      <c r="V507" s="37"/>
      <c r="W507" s="37"/>
      <c r="X507" s="37"/>
      <c r="Y507" s="37"/>
      <c r="Z50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7" s="37"/>
      <c r="AB507" s="713" t="str">
        <f>IF(COUNTA(SalCommune[[#This Row],[Nom]:[heures annuelles
selon contrat(s)]])=0,"",SalCommune[[#This Row],[Total global]]-ABS(SalCommune[[#This Row],[Dont non opposable]]))</f>
        <v/>
      </c>
      <c r="AC507" s="8"/>
      <c r="AD507" s="63"/>
      <c r="AE507" s="430"/>
      <c r="AF507" s="430"/>
      <c r="AG507" s="430"/>
      <c r="AH507" s="181"/>
      <c r="AI507" s="194">
        <f>IF(COUNTA(SalCommune[[#This Row],[N°]:[heures annuelles
selon contrat(s)]])=0,"",REVEX!$E$9)</f>
        <v>0</v>
      </c>
      <c r="AJ507" s="72"/>
    </row>
    <row r="508" spans="1:36" x14ac:dyDescent="0.25">
      <c r="A508" s="72"/>
      <c r="B508" s="725" t="str">
        <f>IF(SalCommune[[#This Row],[Matricule]]="","",MAX($B$7:B507)+1)</f>
        <v/>
      </c>
      <c r="C508" s="8"/>
      <c r="D508" s="8"/>
      <c r="E508" s="20"/>
      <c r="F508" s="8"/>
      <c r="G508" s="8"/>
      <c r="H508" s="9"/>
      <c r="I508" s="9"/>
      <c r="J508" s="9"/>
      <c r="K508" s="714"/>
      <c r="L508" s="714"/>
      <c r="M508" s="9"/>
      <c r="N508" s="9"/>
      <c r="O508" s="9"/>
      <c r="P50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8" s="9"/>
      <c r="R508" s="9"/>
      <c r="S508" s="9"/>
      <c r="T508" s="37"/>
      <c r="U508" s="37"/>
      <c r="V508" s="37"/>
      <c r="W508" s="37"/>
      <c r="X508" s="37"/>
      <c r="Y508" s="37"/>
      <c r="Z50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8" s="37"/>
      <c r="AB508" s="713" t="str">
        <f>IF(COUNTA(SalCommune[[#This Row],[Nom]:[heures annuelles
selon contrat(s)]])=0,"",SalCommune[[#This Row],[Total global]]-ABS(SalCommune[[#This Row],[Dont non opposable]]))</f>
        <v/>
      </c>
      <c r="AC508" s="8"/>
      <c r="AD508" s="63"/>
      <c r="AE508" s="430"/>
      <c r="AF508" s="430"/>
      <c r="AG508" s="430"/>
      <c r="AH508" s="181"/>
      <c r="AI508" s="194">
        <f>IF(COUNTA(SalCommune[[#This Row],[N°]:[heures annuelles
selon contrat(s)]])=0,"",REVEX!$E$9)</f>
        <v>0</v>
      </c>
      <c r="AJ508" s="72"/>
    </row>
    <row r="509" spans="1:36" x14ac:dyDescent="0.25">
      <c r="A509" s="72"/>
      <c r="B509" s="725" t="str">
        <f>IF(SalCommune[[#This Row],[Matricule]]="","",MAX($B$7:B508)+1)</f>
        <v/>
      </c>
      <c r="C509" s="8"/>
      <c r="D509" s="8"/>
      <c r="E509" s="20"/>
      <c r="F509" s="8"/>
      <c r="G509" s="8"/>
      <c r="H509" s="9"/>
      <c r="I509" s="9"/>
      <c r="J509" s="9"/>
      <c r="K509" s="714"/>
      <c r="L509" s="714"/>
      <c r="M509" s="9"/>
      <c r="N509" s="9"/>
      <c r="O509" s="9"/>
      <c r="P50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09" s="9"/>
      <c r="R509" s="9"/>
      <c r="S509" s="9"/>
      <c r="T509" s="37"/>
      <c r="U509" s="37"/>
      <c r="V509" s="37"/>
      <c r="W509" s="37"/>
      <c r="X509" s="37"/>
      <c r="Y509" s="37"/>
      <c r="Z50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09" s="37"/>
      <c r="AB509" s="713" t="str">
        <f>IF(COUNTA(SalCommune[[#This Row],[Nom]:[heures annuelles
selon contrat(s)]])=0,"",SalCommune[[#This Row],[Total global]]-ABS(SalCommune[[#This Row],[Dont non opposable]]))</f>
        <v/>
      </c>
      <c r="AC509" s="8"/>
      <c r="AD509" s="63"/>
      <c r="AE509" s="430"/>
      <c r="AF509" s="430"/>
      <c r="AG509" s="430"/>
      <c r="AH509" s="181"/>
      <c r="AI509" s="194">
        <f>IF(COUNTA(SalCommune[[#This Row],[N°]:[heures annuelles
selon contrat(s)]])=0,"",REVEX!$E$9)</f>
        <v>0</v>
      </c>
      <c r="AJ509" s="72"/>
    </row>
    <row r="510" spans="1:36" x14ac:dyDescent="0.25">
      <c r="A510" s="72"/>
      <c r="B510" s="725" t="str">
        <f>IF(SalCommune[[#This Row],[Matricule]]="","",MAX($B$7:B509)+1)</f>
        <v/>
      </c>
      <c r="C510" s="8"/>
      <c r="D510" s="8"/>
      <c r="E510" s="20"/>
      <c r="F510" s="8"/>
      <c r="G510" s="8"/>
      <c r="H510" s="9"/>
      <c r="I510" s="9"/>
      <c r="J510" s="9"/>
      <c r="K510" s="714"/>
      <c r="L510" s="714"/>
      <c r="M510" s="9"/>
      <c r="N510" s="9"/>
      <c r="O510" s="9"/>
      <c r="P51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0" s="9"/>
      <c r="R510" s="9"/>
      <c r="S510" s="9"/>
      <c r="T510" s="37"/>
      <c r="U510" s="37"/>
      <c r="V510" s="37"/>
      <c r="W510" s="37"/>
      <c r="X510" s="37"/>
      <c r="Y510" s="37"/>
      <c r="Z51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0" s="37"/>
      <c r="AB510" s="713" t="str">
        <f>IF(COUNTA(SalCommune[[#This Row],[Nom]:[heures annuelles
selon contrat(s)]])=0,"",SalCommune[[#This Row],[Total global]]-ABS(SalCommune[[#This Row],[Dont non opposable]]))</f>
        <v/>
      </c>
      <c r="AC510" s="8"/>
      <c r="AD510" s="63"/>
      <c r="AE510" s="430"/>
      <c r="AF510" s="430"/>
      <c r="AG510" s="430"/>
      <c r="AH510" s="181"/>
      <c r="AI510" s="194">
        <f>IF(COUNTA(SalCommune[[#This Row],[N°]:[heures annuelles
selon contrat(s)]])=0,"",REVEX!$E$9)</f>
        <v>0</v>
      </c>
      <c r="AJ510" s="72"/>
    </row>
    <row r="511" spans="1:36" x14ac:dyDescent="0.25">
      <c r="A511" s="72"/>
      <c r="B511" s="725" t="str">
        <f>IF(SalCommune[[#This Row],[Matricule]]="","",MAX($B$7:B510)+1)</f>
        <v/>
      </c>
      <c r="C511" s="8"/>
      <c r="D511" s="8"/>
      <c r="E511" s="20"/>
      <c r="F511" s="8"/>
      <c r="G511" s="8"/>
      <c r="H511" s="9"/>
      <c r="I511" s="9"/>
      <c r="J511" s="9"/>
      <c r="K511" s="714"/>
      <c r="L511" s="714"/>
      <c r="M511" s="9"/>
      <c r="N511" s="9"/>
      <c r="O511" s="9"/>
      <c r="P51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1" s="9"/>
      <c r="R511" s="9"/>
      <c r="S511" s="9"/>
      <c r="T511" s="37"/>
      <c r="U511" s="37"/>
      <c r="V511" s="37"/>
      <c r="W511" s="37"/>
      <c r="X511" s="37"/>
      <c r="Y511" s="37"/>
      <c r="Z51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1" s="37"/>
      <c r="AB511" s="713" t="str">
        <f>IF(COUNTA(SalCommune[[#This Row],[Nom]:[heures annuelles
selon contrat(s)]])=0,"",SalCommune[[#This Row],[Total global]]-ABS(SalCommune[[#This Row],[Dont non opposable]]))</f>
        <v/>
      </c>
      <c r="AC511" s="8"/>
      <c r="AD511" s="63"/>
      <c r="AE511" s="430"/>
      <c r="AF511" s="430"/>
      <c r="AG511" s="430"/>
      <c r="AH511" s="181"/>
      <c r="AI511" s="194">
        <f>IF(COUNTA(SalCommune[[#This Row],[N°]:[heures annuelles
selon contrat(s)]])=0,"",REVEX!$E$9)</f>
        <v>0</v>
      </c>
      <c r="AJ511" s="72"/>
    </row>
    <row r="512" spans="1:36" x14ac:dyDescent="0.25">
      <c r="A512" s="72" t="str">
        <f>IF(SalCommune[[#This Row],[Statut]]="","",IF(ISNA(VLOOKUP(SalCommune[[#This Row],[Statut]],'Grille communale'!$B$3:$B$5,1,FALSE))=TRUE,"Veuillez choisir le statut parmis la liste déroulante",""))</f>
        <v/>
      </c>
      <c r="B512" s="725" t="str">
        <f>IF(SalCommune[[#This Row],[Matricule]]="","",MAX($B$7:B511)+1)</f>
        <v/>
      </c>
      <c r="C512" s="8"/>
      <c r="D512" s="8"/>
      <c r="E512" s="20"/>
      <c r="F512" s="8"/>
      <c r="G512" s="8"/>
      <c r="H512" s="9"/>
      <c r="I512" s="9"/>
      <c r="J512" s="9"/>
      <c r="K512" s="10"/>
      <c r="L512" s="10"/>
      <c r="M512" s="9"/>
      <c r="N512" s="9"/>
      <c r="O512" s="9"/>
      <c r="P51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2" s="9"/>
      <c r="R512" s="9"/>
      <c r="S512" s="9"/>
      <c r="T512" s="37"/>
      <c r="U512" s="37"/>
      <c r="V512" s="37"/>
      <c r="W512" s="37"/>
      <c r="X512" s="37"/>
      <c r="Y512" s="37"/>
      <c r="Z51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2" s="37"/>
      <c r="AB512" s="66" t="str">
        <f>IF(COUNTA(SalCommune[[#This Row],[Nom]:[heures annuelles
selon contrat(s)]])=0,"",SalCommune[[#This Row],[Total global]]-ABS(SalCommune[[#This Row],[Dont non opposable]]))</f>
        <v/>
      </c>
      <c r="AC512" s="8"/>
      <c r="AD512" s="63"/>
      <c r="AE512" s="430"/>
      <c r="AF512" s="430"/>
      <c r="AG512" s="430"/>
      <c r="AH512" s="181"/>
      <c r="AI512" s="194">
        <f>IF(COUNTA(SalCommune[[#This Row],[N°]:[heures annuelles
selon contrat(s)]])=0,"",REVEX!$E$9)</f>
        <v>0</v>
      </c>
      <c r="AJ512" s="72" t="str">
        <f>IF(SalCommune[[#This Row],[Allocations fonctions]]="","",IF(ISNA(VLOOKUP(SalCommune[[#This Row],[Allocations fonctions]],DROPDOWN[Dropdown82],1,FALSE))=TRUE,"&lt;-- Veuillez choisir l'allocation parmis la liste déroulante.",""))</f>
        <v/>
      </c>
    </row>
    <row r="513" spans="1:36" x14ac:dyDescent="0.25">
      <c r="A513" s="72" t="str">
        <f>IF(SalCommune[[#This Row],[Statut]]="","",IF(ISNA(VLOOKUP(SalCommune[[#This Row],[Statut]],'Grille communale'!$B$3:$B$5,1,FALSE))=TRUE,"Veuillez choisir le statut parmis la liste déroulante",""))</f>
        <v/>
      </c>
      <c r="B513" s="725" t="str">
        <f>IF(SalCommune[[#This Row],[Matricule]]="","",MAX($B$7:B512)+1)</f>
        <v/>
      </c>
      <c r="C513" s="8"/>
      <c r="D513" s="8"/>
      <c r="E513" s="20"/>
      <c r="F513" s="8"/>
      <c r="G513" s="8"/>
      <c r="H513" s="9"/>
      <c r="I513" s="9"/>
      <c r="J513" s="9"/>
      <c r="K513" s="10"/>
      <c r="L513" s="10"/>
      <c r="M513" s="9"/>
      <c r="N513" s="9"/>
      <c r="O513" s="9"/>
      <c r="P51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3" s="9"/>
      <c r="R513" s="9"/>
      <c r="S513" s="9"/>
      <c r="T513" s="37"/>
      <c r="U513" s="37"/>
      <c r="V513" s="37"/>
      <c r="W513" s="37"/>
      <c r="X513" s="37"/>
      <c r="Y513" s="37"/>
      <c r="Z51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3" s="37"/>
      <c r="AB513" s="66" t="str">
        <f>IF(COUNTA(SalCommune[[#This Row],[Nom]:[heures annuelles
selon contrat(s)]])=0,"",SalCommune[[#This Row],[Total global]]-ABS(SalCommune[[#This Row],[Dont non opposable]]))</f>
        <v/>
      </c>
      <c r="AC513" s="8"/>
      <c r="AD513" s="63"/>
      <c r="AE513" s="430"/>
      <c r="AF513" s="430"/>
      <c r="AG513" s="430"/>
      <c r="AH513" s="181"/>
      <c r="AI513" s="194">
        <f>IF(COUNTA(SalCommune[[#This Row],[N°]:[heures annuelles
selon contrat(s)]])=0,"",REVEX!$E$9)</f>
        <v>0</v>
      </c>
      <c r="AJ513" s="72" t="str">
        <f>IF(SalCommune[[#This Row],[Allocations fonctions]]="","",IF(ISNA(VLOOKUP(SalCommune[[#This Row],[Allocations fonctions]],DROPDOWN[Dropdown82],1,FALSE))=TRUE,"&lt;-- Veuillez choisir l'allocation parmis la liste déroulante.",""))</f>
        <v/>
      </c>
    </row>
    <row r="514" spans="1:36" x14ac:dyDescent="0.25">
      <c r="A514" s="72" t="str">
        <f>IF(SalCommune[[#This Row],[Statut]]="","",IF(ISNA(VLOOKUP(SalCommune[[#This Row],[Statut]],'Grille communale'!$B$3:$B$5,1,FALSE))=TRUE,"Veuillez choisir le statut parmis la liste déroulante",""))</f>
        <v/>
      </c>
      <c r="B514" s="725" t="str">
        <f>IF(SalCommune[[#This Row],[Matricule]]="","",MAX($B$7:B513)+1)</f>
        <v/>
      </c>
      <c r="C514" s="8"/>
      <c r="D514" s="8"/>
      <c r="E514" s="20"/>
      <c r="F514" s="8"/>
      <c r="G514" s="8"/>
      <c r="H514" s="9"/>
      <c r="I514" s="9"/>
      <c r="J514" s="9"/>
      <c r="K514" s="10"/>
      <c r="L514" s="10"/>
      <c r="M514" s="9"/>
      <c r="N514" s="9"/>
      <c r="O514" s="9"/>
      <c r="P51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4" s="9"/>
      <c r="R514" s="9"/>
      <c r="S514" s="9"/>
      <c r="T514" s="37"/>
      <c r="U514" s="37"/>
      <c r="V514" s="37"/>
      <c r="W514" s="37"/>
      <c r="X514" s="37"/>
      <c r="Y514" s="37"/>
      <c r="Z51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4" s="37"/>
      <c r="AB514" s="66" t="str">
        <f>IF(COUNTA(SalCommune[[#This Row],[Nom]:[heures annuelles
selon contrat(s)]])=0,"",SalCommune[[#This Row],[Total global]]-ABS(SalCommune[[#This Row],[Dont non opposable]]))</f>
        <v/>
      </c>
      <c r="AC514" s="8"/>
      <c r="AD514" s="63"/>
      <c r="AE514" s="430"/>
      <c r="AF514" s="430"/>
      <c r="AG514" s="430"/>
      <c r="AH514" s="181"/>
      <c r="AI514" s="194">
        <f>IF(COUNTA(SalCommune[[#This Row],[N°]:[heures annuelles
selon contrat(s)]])=0,"",REVEX!$E$9)</f>
        <v>0</v>
      </c>
      <c r="AJ514" s="72" t="str">
        <f>IF(SalCommune[[#This Row],[Allocations fonctions]]="","",IF(ISNA(VLOOKUP(SalCommune[[#This Row],[Allocations fonctions]],DROPDOWN[Dropdown82],1,FALSE))=TRUE,"&lt;-- Veuillez choisir l'allocation parmis la liste déroulante.",""))</f>
        <v/>
      </c>
    </row>
    <row r="515" spans="1:36" x14ac:dyDescent="0.25">
      <c r="A515" s="72" t="str">
        <f>IF(SalCommune[[#This Row],[Statut]]="","",IF(ISNA(VLOOKUP(SalCommune[[#This Row],[Statut]],'Grille communale'!$B$3:$B$5,1,FALSE))=TRUE,"Veuillez choisir le statut parmis la liste déroulante",""))</f>
        <v/>
      </c>
      <c r="B515" s="725" t="str">
        <f>IF(SalCommune[[#This Row],[Matricule]]="","",MAX($B$7:B514)+1)</f>
        <v/>
      </c>
      <c r="C515" s="8"/>
      <c r="D515" s="8"/>
      <c r="E515" s="20"/>
      <c r="F515" s="8"/>
      <c r="G515" s="8"/>
      <c r="H515" s="9"/>
      <c r="I515" s="9"/>
      <c r="J515" s="9"/>
      <c r="K515" s="10"/>
      <c r="L515" s="10"/>
      <c r="M515" s="9"/>
      <c r="N515" s="9"/>
      <c r="O515" s="9"/>
      <c r="P51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5" s="9"/>
      <c r="R515" s="9"/>
      <c r="S515" s="9"/>
      <c r="T515" s="37"/>
      <c r="U515" s="37"/>
      <c r="V515" s="37"/>
      <c r="W515" s="37"/>
      <c r="X515" s="37"/>
      <c r="Y515" s="37"/>
      <c r="Z51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5" s="37"/>
      <c r="AB515" s="66" t="str">
        <f>IF(COUNTA(SalCommune[[#This Row],[Nom]:[heures annuelles
selon contrat(s)]])=0,"",SalCommune[[#This Row],[Total global]]-ABS(SalCommune[[#This Row],[Dont non opposable]]))</f>
        <v/>
      </c>
      <c r="AC515" s="8"/>
      <c r="AD515" s="63"/>
      <c r="AE515" s="430"/>
      <c r="AF515" s="430"/>
      <c r="AG515" s="430"/>
      <c r="AH515" s="181"/>
      <c r="AI515" s="194">
        <f>IF(COUNTA(SalCommune[[#This Row],[N°]:[heures annuelles
selon contrat(s)]])=0,"",REVEX!$E$9)</f>
        <v>0</v>
      </c>
      <c r="AJ515" s="72" t="str">
        <f>IF(SalCommune[[#This Row],[Allocations fonctions]]="","",IF(ISNA(VLOOKUP(SalCommune[[#This Row],[Allocations fonctions]],DROPDOWN[Dropdown82],1,FALSE))=TRUE,"&lt;-- Veuillez choisir l'allocation parmis la liste déroulante.",""))</f>
        <v/>
      </c>
    </row>
    <row r="516" spans="1:36" x14ac:dyDescent="0.25">
      <c r="A516" s="72" t="str">
        <f>IF(SalCommune[[#This Row],[Statut]]="","",IF(ISNA(VLOOKUP(SalCommune[[#This Row],[Statut]],'Grille communale'!$B$3:$B$5,1,FALSE))=TRUE,"Veuillez choisir le statut parmis la liste déroulante",""))</f>
        <v/>
      </c>
      <c r="B516" s="725" t="str">
        <f>IF(SalCommune[[#This Row],[Matricule]]="","",MAX($B$7:B515)+1)</f>
        <v/>
      </c>
      <c r="C516" s="8"/>
      <c r="D516" s="8"/>
      <c r="E516" s="20"/>
      <c r="F516" s="8"/>
      <c r="G516" s="8"/>
      <c r="H516" s="9"/>
      <c r="I516" s="9"/>
      <c r="J516" s="9"/>
      <c r="K516" s="10"/>
      <c r="L516" s="10"/>
      <c r="M516" s="9"/>
      <c r="N516" s="9"/>
      <c r="O516" s="9"/>
      <c r="P51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6" s="9"/>
      <c r="R516" s="9"/>
      <c r="S516" s="9"/>
      <c r="T516" s="37"/>
      <c r="U516" s="37"/>
      <c r="V516" s="37"/>
      <c r="W516" s="37"/>
      <c r="X516" s="37"/>
      <c r="Y516" s="37"/>
      <c r="Z51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6" s="37"/>
      <c r="AB516" s="66" t="str">
        <f>IF(COUNTA(SalCommune[[#This Row],[Nom]:[heures annuelles
selon contrat(s)]])=0,"",SalCommune[[#This Row],[Total global]]-ABS(SalCommune[[#This Row],[Dont non opposable]]))</f>
        <v/>
      </c>
      <c r="AC516" s="8"/>
      <c r="AD516" s="63"/>
      <c r="AE516" s="430"/>
      <c r="AF516" s="430"/>
      <c r="AG516" s="430"/>
      <c r="AH516" s="181"/>
      <c r="AI516" s="194">
        <f>IF(COUNTA(SalCommune[[#This Row],[N°]:[heures annuelles
selon contrat(s)]])=0,"",REVEX!$E$9)</f>
        <v>0</v>
      </c>
      <c r="AJ516" s="72" t="str">
        <f>IF(SalCommune[[#This Row],[Allocations fonctions]]="","",IF(ISNA(VLOOKUP(SalCommune[[#This Row],[Allocations fonctions]],DROPDOWN[Dropdown82],1,FALSE))=TRUE,"&lt;-- Veuillez choisir l'allocation parmis la liste déroulante.",""))</f>
        <v/>
      </c>
    </row>
    <row r="517" spans="1:36" x14ac:dyDescent="0.25">
      <c r="A517" s="72" t="str">
        <f>IF(SalCommune[[#This Row],[Statut]]="","",IF(ISNA(VLOOKUP(SalCommune[[#This Row],[Statut]],'Grille communale'!$B$3:$B$5,1,FALSE))=TRUE,"Veuillez choisir le statut parmis la liste déroulante",""))</f>
        <v/>
      </c>
      <c r="B517" s="725" t="str">
        <f>IF(SalCommune[[#This Row],[Matricule]]="","",MAX($B$7:B516)+1)</f>
        <v/>
      </c>
      <c r="C517" s="8"/>
      <c r="D517" s="8"/>
      <c r="E517" s="20"/>
      <c r="F517" s="8"/>
      <c r="G517" s="8"/>
      <c r="H517" s="9"/>
      <c r="I517" s="9"/>
      <c r="J517" s="9"/>
      <c r="K517" s="10"/>
      <c r="L517" s="10"/>
      <c r="M517" s="9"/>
      <c r="N517" s="9"/>
      <c r="O517" s="9"/>
      <c r="P51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7" s="9"/>
      <c r="R517" s="9"/>
      <c r="S517" s="9"/>
      <c r="T517" s="37"/>
      <c r="U517" s="37"/>
      <c r="V517" s="37"/>
      <c r="W517" s="37"/>
      <c r="X517" s="37"/>
      <c r="Y517" s="37"/>
      <c r="Z51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7" s="37"/>
      <c r="AB517" s="66" t="str">
        <f>IF(COUNTA(SalCommune[[#This Row],[Nom]:[heures annuelles
selon contrat(s)]])=0,"",SalCommune[[#This Row],[Total global]]-ABS(SalCommune[[#This Row],[Dont non opposable]]))</f>
        <v/>
      </c>
      <c r="AC517" s="8"/>
      <c r="AD517" s="63"/>
      <c r="AE517" s="430"/>
      <c r="AF517" s="430"/>
      <c r="AG517" s="430"/>
      <c r="AH517" s="181"/>
      <c r="AI517" s="194">
        <f>IF(COUNTA(SalCommune[[#This Row],[N°]:[heures annuelles
selon contrat(s)]])=0,"",REVEX!$E$9)</f>
        <v>0</v>
      </c>
      <c r="AJ517" s="72" t="str">
        <f>IF(SalCommune[[#This Row],[Allocations fonctions]]="","",IF(ISNA(VLOOKUP(SalCommune[[#This Row],[Allocations fonctions]],DROPDOWN[Dropdown82],1,FALSE))=TRUE,"&lt;-- Veuillez choisir l'allocation parmis la liste déroulante.",""))</f>
        <v/>
      </c>
    </row>
    <row r="518" spans="1:36" x14ac:dyDescent="0.25">
      <c r="A518" s="72" t="str">
        <f>IF(SalCommune[[#This Row],[Statut]]="","",IF(ISNA(VLOOKUP(SalCommune[[#This Row],[Statut]],'Grille communale'!$B$3:$B$5,1,FALSE))=TRUE,"Veuillez choisir le statut parmis la liste déroulante",""))</f>
        <v/>
      </c>
      <c r="B518" s="725" t="str">
        <f>IF(SalCommune[[#This Row],[Matricule]]="","",MAX($B$7:B517)+1)</f>
        <v/>
      </c>
      <c r="C518" s="8"/>
      <c r="D518" s="8"/>
      <c r="E518" s="20"/>
      <c r="F518" s="8"/>
      <c r="G518" s="8"/>
      <c r="H518" s="9"/>
      <c r="I518" s="9"/>
      <c r="J518" s="9"/>
      <c r="K518" s="10"/>
      <c r="L518" s="10"/>
      <c r="M518" s="9"/>
      <c r="N518" s="9"/>
      <c r="O518" s="9"/>
      <c r="P51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8" s="9"/>
      <c r="R518" s="9"/>
      <c r="S518" s="9"/>
      <c r="T518" s="37"/>
      <c r="U518" s="37"/>
      <c r="V518" s="37"/>
      <c r="W518" s="37"/>
      <c r="X518" s="37"/>
      <c r="Y518" s="37"/>
      <c r="Z51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8" s="37"/>
      <c r="AB518" s="66" t="str">
        <f>IF(COUNTA(SalCommune[[#This Row],[Nom]:[heures annuelles
selon contrat(s)]])=0,"",SalCommune[[#This Row],[Total global]]-ABS(SalCommune[[#This Row],[Dont non opposable]]))</f>
        <v/>
      </c>
      <c r="AC518" s="8"/>
      <c r="AD518" s="63"/>
      <c r="AE518" s="430"/>
      <c r="AF518" s="430"/>
      <c r="AG518" s="430"/>
      <c r="AH518" s="181"/>
      <c r="AI518" s="194">
        <f>IF(COUNTA(SalCommune[[#This Row],[N°]:[heures annuelles
selon contrat(s)]])=0,"",REVEX!$E$9)</f>
        <v>0</v>
      </c>
      <c r="AJ518" s="72" t="str">
        <f>IF(SalCommune[[#This Row],[Allocations fonctions]]="","",IF(ISNA(VLOOKUP(SalCommune[[#This Row],[Allocations fonctions]],DROPDOWN[Dropdown82],1,FALSE))=TRUE,"&lt;-- Veuillez choisir l'allocation parmis la liste déroulante.",""))</f>
        <v/>
      </c>
    </row>
    <row r="519" spans="1:36" x14ac:dyDescent="0.25">
      <c r="A519" s="72" t="str">
        <f>IF(SalCommune[[#This Row],[Statut]]="","",IF(ISNA(VLOOKUP(SalCommune[[#This Row],[Statut]],'Grille communale'!$B$3:$B$5,1,FALSE))=TRUE,"Veuillez choisir le statut parmis la liste déroulante",""))</f>
        <v/>
      </c>
      <c r="B519" s="725" t="str">
        <f>IF(SalCommune[[#This Row],[Matricule]]="","",MAX($B$7:B518)+1)</f>
        <v/>
      </c>
      <c r="C519" s="8"/>
      <c r="D519" s="8"/>
      <c r="E519" s="20"/>
      <c r="F519" s="8"/>
      <c r="G519" s="8"/>
      <c r="H519" s="9"/>
      <c r="I519" s="9"/>
      <c r="J519" s="9"/>
      <c r="K519" s="10"/>
      <c r="L519" s="10"/>
      <c r="M519" s="9"/>
      <c r="N519" s="9"/>
      <c r="O519" s="9"/>
      <c r="P51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19" s="9"/>
      <c r="R519" s="9"/>
      <c r="S519" s="9"/>
      <c r="T519" s="37"/>
      <c r="U519" s="37"/>
      <c r="V519" s="37"/>
      <c r="W519" s="37"/>
      <c r="X519" s="37"/>
      <c r="Y519" s="37"/>
      <c r="Z51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19" s="37"/>
      <c r="AB519" s="66" t="str">
        <f>IF(COUNTA(SalCommune[[#This Row],[Nom]:[heures annuelles
selon contrat(s)]])=0,"",SalCommune[[#This Row],[Total global]]-ABS(SalCommune[[#This Row],[Dont non opposable]]))</f>
        <v/>
      </c>
      <c r="AC519" s="8"/>
      <c r="AD519" s="63"/>
      <c r="AE519" s="430"/>
      <c r="AF519" s="430"/>
      <c r="AG519" s="430"/>
      <c r="AH519" s="181"/>
      <c r="AI519" s="194">
        <f>IF(COUNTA(SalCommune[[#This Row],[N°]:[heures annuelles
selon contrat(s)]])=0,"",REVEX!$E$9)</f>
        <v>0</v>
      </c>
      <c r="AJ519" s="72" t="str">
        <f>IF(SalCommune[[#This Row],[Allocations fonctions]]="","",IF(ISNA(VLOOKUP(SalCommune[[#This Row],[Allocations fonctions]],DROPDOWN[Dropdown82],1,FALSE))=TRUE,"&lt;-- Veuillez choisir l'allocation parmis la liste déroulante.",""))</f>
        <v/>
      </c>
    </row>
    <row r="520" spans="1:36" x14ac:dyDescent="0.25">
      <c r="A520" s="72" t="str">
        <f>IF(SalCommune[[#This Row],[Statut]]="","",IF(ISNA(VLOOKUP(SalCommune[[#This Row],[Statut]],'Grille communale'!$B$3:$B$5,1,FALSE))=TRUE,"Veuillez choisir le statut parmis la liste déroulante",""))</f>
        <v/>
      </c>
      <c r="B520" s="725" t="str">
        <f>IF(SalCommune[[#This Row],[Matricule]]="","",MAX($B$7:B519)+1)</f>
        <v/>
      </c>
      <c r="C520" s="8"/>
      <c r="D520" s="8"/>
      <c r="E520" s="20"/>
      <c r="F520" s="8"/>
      <c r="G520" s="8"/>
      <c r="H520" s="9"/>
      <c r="I520" s="9"/>
      <c r="J520" s="9"/>
      <c r="K520" s="10"/>
      <c r="L520" s="10"/>
      <c r="M520" s="9"/>
      <c r="N520" s="9"/>
      <c r="O520" s="9"/>
      <c r="P52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0" s="9"/>
      <c r="R520" s="9"/>
      <c r="S520" s="9"/>
      <c r="T520" s="37"/>
      <c r="U520" s="37"/>
      <c r="V520" s="37"/>
      <c r="W520" s="37"/>
      <c r="X520" s="37"/>
      <c r="Y520" s="37"/>
      <c r="Z52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0" s="37"/>
      <c r="AB520" s="66" t="str">
        <f>IF(COUNTA(SalCommune[[#This Row],[Nom]:[heures annuelles
selon contrat(s)]])=0,"",SalCommune[[#This Row],[Total global]]-ABS(SalCommune[[#This Row],[Dont non opposable]]))</f>
        <v/>
      </c>
      <c r="AC520" s="8"/>
      <c r="AD520" s="63"/>
      <c r="AE520" s="430"/>
      <c r="AF520" s="430"/>
      <c r="AG520" s="430"/>
      <c r="AH520" s="181"/>
      <c r="AI520" s="194">
        <f>IF(COUNTA(SalCommune[[#This Row],[N°]:[heures annuelles
selon contrat(s)]])=0,"",REVEX!$E$9)</f>
        <v>0</v>
      </c>
      <c r="AJ520" s="72" t="str">
        <f>IF(SalCommune[[#This Row],[Allocations fonctions]]="","",IF(ISNA(VLOOKUP(SalCommune[[#This Row],[Allocations fonctions]],DROPDOWN[Dropdown82],1,FALSE))=TRUE,"&lt;-- Veuillez choisir l'allocation parmis la liste déroulante.",""))</f>
        <v/>
      </c>
    </row>
    <row r="521" spans="1:36" x14ac:dyDescent="0.25">
      <c r="A521" s="72" t="str">
        <f>IF(SalCommune[[#This Row],[Statut]]="","",IF(ISNA(VLOOKUP(SalCommune[[#This Row],[Statut]],'Grille communale'!$B$3:$B$5,1,FALSE))=TRUE,"Veuillez choisir le statut parmis la liste déroulante",""))</f>
        <v/>
      </c>
      <c r="B521" s="725" t="str">
        <f>IF(SalCommune[[#This Row],[Matricule]]="","",MAX($B$7:B520)+1)</f>
        <v/>
      </c>
      <c r="C521" s="8"/>
      <c r="D521" s="8"/>
      <c r="E521" s="20"/>
      <c r="F521" s="8"/>
      <c r="G521" s="8"/>
      <c r="H521" s="9"/>
      <c r="I521" s="9"/>
      <c r="J521" s="9"/>
      <c r="K521" s="10"/>
      <c r="L521" s="10"/>
      <c r="M521" s="9"/>
      <c r="N521" s="9"/>
      <c r="O521" s="9"/>
      <c r="P52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1" s="9"/>
      <c r="R521" s="9"/>
      <c r="S521" s="9"/>
      <c r="T521" s="37"/>
      <c r="U521" s="37"/>
      <c r="V521" s="37"/>
      <c r="W521" s="37"/>
      <c r="X521" s="37"/>
      <c r="Y521" s="37"/>
      <c r="Z52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1" s="37"/>
      <c r="AB521" s="66" t="str">
        <f>IF(COUNTA(SalCommune[[#This Row],[Nom]:[heures annuelles
selon contrat(s)]])=0,"",SalCommune[[#This Row],[Total global]]-ABS(SalCommune[[#This Row],[Dont non opposable]]))</f>
        <v/>
      </c>
      <c r="AC521" s="8"/>
      <c r="AD521" s="63"/>
      <c r="AE521" s="430"/>
      <c r="AF521" s="430"/>
      <c r="AG521" s="430"/>
      <c r="AH521" s="181"/>
      <c r="AI521" s="194">
        <f>IF(COUNTA(SalCommune[[#This Row],[N°]:[heures annuelles
selon contrat(s)]])=0,"",REVEX!$E$9)</f>
        <v>0</v>
      </c>
      <c r="AJ521" s="72" t="str">
        <f>IF(SalCommune[[#This Row],[Allocations fonctions]]="","",IF(ISNA(VLOOKUP(SalCommune[[#This Row],[Allocations fonctions]],DROPDOWN[Dropdown82],1,FALSE))=TRUE,"&lt;-- Veuillez choisir l'allocation parmis la liste déroulante.",""))</f>
        <v/>
      </c>
    </row>
    <row r="522" spans="1:36" x14ac:dyDescent="0.25">
      <c r="A522" s="72" t="str">
        <f>IF(SalCommune[[#This Row],[Statut]]="","",IF(ISNA(VLOOKUP(SalCommune[[#This Row],[Statut]],'Grille communale'!$B$3:$B$5,1,FALSE))=TRUE,"Veuillez choisir le statut parmis la liste déroulante",""))</f>
        <v/>
      </c>
      <c r="B522" s="725" t="str">
        <f>IF(SalCommune[[#This Row],[Matricule]]="","",MAX($B$7:B521)+1)</f>
        <v/>
      </c>
      <c r="C522" s="8"/>
      <c r="D522" s="8"/>
      <c r="E522" s="20"/>
      <c r="F522" s="8"/>
      <c r="G522" s="8"/>
      <c r="H522" s="9"/>
      <c r="I522" s="9"/>
      <c r="J522" s="9"/>
      <c r="K522" s="10"/>
      <c r="L522" s="10"/>
      <c r="M522" s="9"/>
      <c r="N522" s="9"/>
      <c r="O522" s="9"/>
      <c r="P52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2" s="9"/>
      <c r="R522" s="9"/>
      <c r="S522" s="9"/>
      <c r="T522" s="37"/>
      <c r="U522" s="37"/>
      <c r="V522" s="37"/>
      <c r="W522" s="37"/>
      <c r="X522" s="37"/>
      <c r="Y522" s="37"/>
      <c r="Z52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2" s="37"/>
      <c r="AB522" s="66" t="str">
        <f>IF(COUNTA(SalCommune[[#This Row],[Nom]:[heures annuelles
selon contrat(s)]])=0,"",SalCommune[[#This Row],[Total global]]-ABS(SalCommune[[#This Row],[Dont non opposable]]))</f>
        <v/>
      </c>
      <c r="AC522" s="8"/>
      <c r="AD522" s="63"/>
      <c r="AE522" s="430"/>
      <c r="AF522" s="430"/>
      <c r="AG522" s="430"/>
      <c r="AH522" s="181"/>
      <c r="AI522" s="194">
        <f>IF(COUNTA(SalCommune[[#This Row],[N°]:[heures annuelles
selon contrat(s)]])=0,"",REVEX!$E$9)</f>
        <v>0</v>
      </c>
      <c r="AJ522" s="72" t="str">
        <f>IF(SalCommune[[#This Row],[Allocations fonctions]]="","",IF(ISNA(VLOOKUP(SalCommune[[#This Row],[Allocations fonctions]],DROPDOWN[Dropdown82],1,FALSE))=TRUE,"&lt;-- Veuillez choisir l'allocation parmis la liste déroulante.",""))</f>
        <v/>
      </c>
    </row>
    <row r="523" spans="1:36" x14ac:dyDescent="0.25">
      <c r="A523" s="72" t="str">
        <f>IF(SalCommune[[#This Row],[Statut]]="","",IF(ISNA(VLOOKUP(SalCommune[[#This Row],[Statut]],'Grille communale'!$B$3:$B$5,1,FALSE))=TRUE,"Veuillez choisir le statut parmis la liste déroulante",""))</f>
        <v/>
      </c>
      <c r="B523" s="725" t="str">
        <f>IF(SalCommune[[#This Row],[Matricule]]="","",MAX($B$7:B522)+1)</f>
        <v/>
      </c>
      <c r="C523" s="8"/>
      <c r="D523" s="8"/>
      <c r="E523" s="20"/>
      <c r="F523" s="8"/>
      <c r="G523" s="8"/>
      <c r="H523" s="9"/>
      <c r="I523" s="9"/>
      <c r="J523" s="9"/>
      <c r="K523" s="10"/>
      <c r="L523" s="10"/>
      <c r="M523" s="9"/>
      <c r="N523" s="9"/>
      <c r="O523" s="9"/>
      <c r="P52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3" s="9"/>
      <c r="R523" s="9"/>
      <c r="S523" s="9"/>
      <c r="T523" s="37"/>
      <c r="U523" s="37"/>
      <c r="V523" s="37"/>
      <c r="W523" s="37"/>
      <c r="X523" s="37"/>
      <c r="Y523" s="37"/>
      <c r="Z52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3" s="37"/>
      <c r="AB523" s="66" t="str">
        <f>IF(COUNTA(SalCommune[[#This Row],[Nom]:[heures annuelles
selon contrat(s)]])=0,"",SalCommune[[#This Row],[Total global]]-ABS(SalCommune[[#This Row],[Dont non opposable]]))</f>
        <v/>
      </c>
      <c r="AC523" s="8"/>
      <c r="AD523" s="63"/>
      <c r="AE523" s="430"/>
      <c r="AF523" s="430"/>
      <c r="AG523" s="430"/>
      <c r="AH523" s="181"/>
      <c r="AI523" s="194">
        <f>IF(COUNTA(SalCommune[[#This Row],[N°]:[heures annuelles
selon contrat(s)]])=0,"",REVEX!$E$9)</f>
        <v>0</v>
      </c>
      <c r="AJ523" s="72" t="str">
        <f>IF(SalCommune[[#This Row],[Allocations fonctions]]="","",IF(ISNA(VLOOKUP(SalCommune[[#This Row],[Allocations fonctions]],DROPDOWN[Dropdown82],1,FALSE))=TRUE,"&lt;-- Veuillez choisir l'allocation parmis la liste déroulante.",""))</f>
        <v/>
      </c>
    </row>
    <row r="524" spans="1:36" x14ac:dyDescent="0.25">
      <c r="A524" s="72" t="str">
        <f>IF(SalCommune[[#This Row],[Statut]]="","",IF(ISNA(VLOOKUP(SalCommune[[#This Row],[Statut]],'Grille communale'!$B$3:$B$5,1,FALSE))=TRUE,"Veuillez choisir le statut parmis la liste déroulante",""))</f>
        <v/>
      </c>
      <c r="B524" s="725" t="str">
        <f>IF(SalCommune[[#This Row],[Matricule]]="","",MAX($B$7:B523)+1)</f>
        <v/>
      </c>
      <c r="C524" s="8"/>
      <c r="D524" s="8"/>
      <c r="E524" s="20"/>
      <c r="F524" s="8"/>
      <c r="G524" s="8"/>
      <c r="H524" s="9"/>
      <c r="I524" s="9"/>
      <c r="J524" s="9"/>
      <c r="K524" s="10"/>
      <c r="L524" s="10"/>
      <c r="M524" s="9"/>
      <c r="N524" s="9"/>
      <c r="O524" s="9"/>
      <c r="P52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4" s="9"/>
      <c r="R524" s="9"/>
      <c r="S524" s="9"/>
      <c r="T524" s="37"/>
      <c r="U524" s="37"/>
      <c r="V524" s="37"/>
      <c r="W524" s="37"/>
      <c r="X524" s="37"/>
      <c r="Y524" s="37"/>
      <c r="Z52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4" s="37"/>
      <c r="AB524" s="66" t="str">
        <f>IF(COUNTA(SalCommune[[#This Row],[Nom]:[heures annuelles
selon contrat(s)]])=0,"",SalCommune[[#This Row],[Total global]]-ABS(SalCommune[[#This Row],[Dont non opposable]]))</f>
        <v/>
      </c>
      <c r="AC524" s="8"/>
      <c r="AD524" s="63"/>
      <c r="AE524" s="430"/>
      <c r="AF524" s="430"/>
      <c r="AG524" s="430"/>
      <c r="AH524" s="181"/>
      <c r="AI524" s="194">
        <f>IF(COUNTA(SalCommune[[#This Row],[N°]:[heures annuelles
selon contrat(s)]])=0,"",REVEX!$E$9)</f>
        <v>0</v>
      </c>
      <c r="AJ524" s="72" t="str">
        <f>IF(SalCommune[[#This Row],[Allocations fonctions]]="","",IF(ISNA(VLOOKUP(SalCommune[[#This Row],[Allocations fonctions]],DROPDOWN[Dropdown82],1,FALSE))=TRUE,"&lt;-- Veuillez choisir l'allocation parmis la liste déroulante.",""))</f>
        <v/>
      </c>
    </row>
    <row r="525" spans="1:36" x14ac:dyDescent="0.25">
      <c r="A525" s="72" t="str">
        <f>IF(SalCommune[[#This Row],[Statut]]="","",IF(ISNA(VLOOKUP(SalCommune[[#This Row],[Statut]],'Grille communale'!$B$3:$B$5,1,FALSE))=TRUE,"Veuillez choisir le statut parmis la liste déroulante",""))</f>
        <v/>
      </c>
      <c r="B525" s="725" t="str">
        <f>IF(SalCommune[[#This Row],[Matricule]]="","",MAX($B$7:B524)+1)</f>
        <v/>
      </c>
      <c r="C525" s="8"/>
      <c r="D525" s="8"/>
      <c r="E525" s="20"/>
      <c r="F525" s="8"/>
      <c r="G525" s="8"/>
      <c r="H525" s="9"/>
      <c r="I525" s="9"/>
      <c r="J525" s="9"/>
      <c r="K525" s="10"/>
      <c r="L525" s="10"/>
      <c r="M525" s="9"/>
      <c r="N525" s="9"/>
      <c r="O525" s="9"/>
      <c r="P52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5" s="9"/>
      <c r="R525" s="9"/>
      <c r="S525" s="9"/>
      <c r="T525" s="37"/>
      <c r="U525" s="37"/>
      <c r="V525" s="37"/>
      <c r="W525" s="37"/>
      <c r="X525" s="37"/>
      <c r="Y525" s="37"/>
      <c r="Z52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5" s="37"/>
      <c r="AB525" s="66" t="str">
        <f>IF(COUNTA(SalCommune[[#This Row],[Nom]:[heures annuelles
selon contrat(s)]])=0,"",SalCommune[[#This Row],[Total global]]-ABS(SalCommune[[#This Row],[Dont non opposable]]))</f>
        <v/>
      </c>
      <c r="AC525" s="8"/>
      <c r="AD525" s="63"/>
      <c r="AE525" s="430"/>
      <c r="AF525" s="430"/>
      <c r="AG525" s="430"/>
      <c r="AH525" s="181"/>
      <c r="AI525" s="194">
        <f>IF(COUNTA(SalCommune[[#This Row],[N°]:[heures annuelles
selon contrat(s)]])=0,"",REVEX!$E$9)</f>
        <v>0</v>
      </c>
      <c r="AJ525" s="72" t="str">
        <f>IF(SalCommune[[#This Row],[Allocations fonctions]]="","",IF(ISNA(VLOOKUP(SalCommune[[#This Row],[Allocations fonctions]],DROPDOWN[Dropdown82],1,FALSE))=TRUE,"&lt;-- Veuillez choisir l'allocation parmis la liste déroulante.",""))</f>
        <v/>
      </c>
    </row>
    <row r="526" spans="1:36" x14ac:dyDescent="0.25">
      <c r="A526" s="72" t="str">
        <f>IF(SalCommune[[#This Row],[Statut]]="","",IF(ISNA(VLOOKUP(SalCommune[[#This Row],[Statut]],'Grille communale'!$B$3:$B$5,1,FALSE))=TRUE,"Veuillez choisir le statut parmis la liste déroulante",""))</f>
        <v/>
      </c>
      <c r="B526" s="725" t="str">
        <f>IF(SalCommune[[#This Row],[Matricule]]="","",MAX($B$7:B525)+1)</f>
        <v/>
      </c>
      <c r="C526" s="8"/>
      <c r="D526" s="8"/>
      <c r="E526" s="20"/>
      <c r="F526" s="8"/>
      <c r="G526" s="8"/>
      <c r="H526" s="9"/>
      <c r="I526" s="9"/>
      <c r="J526" s="9"/>
      <c r="K526" s="10"/>
      <c r="L526" s="10"/>
      <c r="M526" s="9"/>
      <c r="N526" s="9"/>
      <c r="O526" s="9"/>
      <c r="P52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6" s="9"/>
      <c r="R526" s="9"/>
      <c r="S526" s="9"/>
      <c r="T526" s="37"/>
      <c r="U526" s="37"/>
      <c r="V526" s="37"/>
      <c r="W526" s="37"/>
      <c r="X526" s="37"/>
      <c r="Y526" s="37"/>
      <c r="Z52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6" s="37"/>
      <c r="AB526" s="66" t="str">
        <f>IF(COUNTA(SalCommune[[#This Row],[Nom]:[heures annuelles
selon contrat(s)]])=0,"",SalCommune[[#This Row],[Total global]]-ABS(SalCommune[[#This Row],[Dont non opposable]]))</f>
        <v/>
      </c>
      <c r="AC526" s="8"/>
      <c r="AD526" s="63"/>
      <c r="AE526" s="430"/>
      <c r="AF526" s="430"/>
      <c r="AG526" s="430"/>
      <c r="AH526" s="181"/>
      <c r="AI526" s="194">
        <f>IF(COUNTA(SalCommune[[#This Row],[N°]:[heures annuelles
selon contrat(s)]])=0,"",REVEX!$E$9)</f>
        <v>0</v>
      </c>
      <c r="AJ526" s="72" t="str">
        <f>IF(SalCommune[[#This Row],[Allocations fonctions]]="","",IF(ISNA(VLOOKUP(SalCommune[[#This Row],[Allocations fonctions]],DROPDOWN[Dropdown82],1,FALSE))=TRUE,"&lt;-- Veuillez choisir l'allocation parmis la liste déroulante.",""))</f>
        <v/>
      </c>
    </row>
    <row r="527" spans="1:36" x14ac:dyDescent="0.25">
      <c r="A527" s="72" t="str">
        <f>IF(SalCommune[[#This Row],[Statut]]="","",IF(ISNA(VLOOKUP(SalCommune[[#This Row],[Statut]],'Grille communale'!$B$3:$B$5,1,FALSE))=TRUE,"Veuillez choisir le statut parmis la liste déroulante",""))</f>
        <v/>
      </c>
      <c r="B527" s="725" t="str">
        <f>IF(SalCommune[[#This Row],[Matricule]]="","",MAX($B$7:B526)+1)</f>
        <v/>
      </c>
      <c r="C527" s="8"/>
      <c r="D527" s="8"/>
      <c r="E527" s="20"/>
      <c r="F527" s="8"/>
      <c r="G527" s="8"/>
      <c r="H527" s="9"/>
      <c r="I527" s="9"/>
      <c r="J527" s="9"/>
      <c r="K527" s="10"/>
      <c r="L527" s="10"/>
      <c r="M527" s="9"/>
      <c r="N527" s="9"/>
      <c r="O527" s="9"/>
      <c r="P52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7" s="9"/>
      <c r="R527" s="9"/>
      <c r="S527" s="9"/>
      <c r="T527" s="37"/>
      <c r="U527" s="37"/>
      <c r="V527" s="37"/>
      <c r="W527" s="37"/>
      <c r="X527" s="37"/>
      <c r="Y527" s="37"/>
      <c r="Z52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7" s="37"/>
      <c r="AB527" s="66" t="str">
        <f>IF(COUNTA(SalCommune[[#This Row],[Nom]:[heures annuelles
selon contrat(s)]])=0,"",SalCommune[[#This Row],[Total global]]-ABS(SalCommune[[#This Row],[Dont non opposable]]))</f>
        <v/>
      </c>
      <c r="AC527" s="8"/>
      <c r="AD527" s="63"/>
      <c r="AE527" s="430"/>
      <c r="AF527" s="430"/>
      <c r="AG527" s="430"/>
      <c r="AH527" s="181"/>
      <c r="AI527" s="194">
        <f>IF(COUNTA(SalCommune[[#This Row],[N°]:[heures annuelles
selon contrat(s)]])=0,"",REVEX!$E$9)</f>
        <v>0</v>
      </c>
      <c r="AJ527" s="72" t="str">
        <f>IF(SalCommune[[#This Row],[Allocations fonctions]]="","",IF(ISNA(VLOOKUP(SalCommune[[#This Row],[Allocations fonctions]],DROPDOWN[Dropdown82],1,FALSE))=TRUE,"&lt;-- Veuillez choisir l'allocation parmis la liste déroulante.",""))</f>
        <v/>
      </c>
    </row>
    <row r="528" spans="1:36" x14ac:dyDescent="0.25">
      <c r="A528" s="72" t="str">
        <f>IF(SalCommune[[#This Row],[Statut]]="","",IF(ISNA(VLOOKUP(SalCommune[[#This Row],[Statut]],'Grille communale'!$B$3:$B$5,1,FALSE))=TRUE,"Veuillez choisir le statut parmis la liste déroulante",""))</f>
        <v/>
      </c>
      <c r="B528" s="725" t="str">
        <f>IF(SalCommune[[#This Row],[Matricule]]="","",MAX($B$7:B527)+1)</f>
        <v/>
      </c>
      <c r="C528" s="8"/>
      <c r="D528" s="8"/>
      <c r="E528" s="20"/>
      <c r="F528" s="8"/>
      <c r="G528" s="8"/>
      <c r="H528" s="9"/>
      <c r="I528" s="9"/>
      <c r="J528" s="9"/>
      <c r="K528" s="10"/>
      <c r="L528" s="10"/>
      <c r="M528" s="9"/>
      <c r="N528" s="9"/>
      <c r="O528" s="9"/>
      <c r="P52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8" s="9"/>
      <c r="R528" s="9"/>
      <c r="S528" s="9"/>
      <c r="T528" s="37"/>
      <c r="U528" s="37"/>
      <c r="V528" s="37"/>
      <c r="W528" s="37"/>
      <c r="X528" s="37"/>
      <c r="Y528" s="37"/>
      <c r="Z52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8" s="37"/>
      <c r="AB528" s="66" t="str">
        <f>IF(COUNTA(SalCommune[[#This Row],[Nom]:[heures annuelles
selon contrat(s)]])=0,"",SalCommune[[#This Row],[Total global]]-ABS(SalCommune[[#This Row],[Dont non opposable]]))</f>
        <v/>
      </c>
      <c r="AC528" s="8"/>
      <c r="AD528" s="63"/>
      <c r="AE528" s="430"/>
      <c r="AF528" s="430"/>
      <c r="AG528" s="430"/>
      <c r="AH528" s="181"/>
      <c r="AI528" s="194">
        <f>IF(COUNTA(SalCommune[[#This Row],[N°]:[heures annuelles
selon contrat(s)]])=0,"",REVEX!$E$9)</f>
        <v>0</v>
      </c>
      <c r="AJ528" s="72" t="str">
        <f>IF(SalCommune[[#This Row],[Allocations fonctions]]="","",IF(ISNA(VLOOKUP(SalCommune[[#This Row],[Allocations fonctions]],DROPDOWN[Dropdown82],1,FALSE))=TRUE,"&lt;-- Veuillez choisir l'allocation parmis la liste déroulante.",""))</f>
        <v/>
      </c>
    </row>
    <row r="529" spans="1:36" x14ac:dyDescent="0.25">
      <c r="A529" s="72" t="str">
        <f>IF(SalCommune[[#This Row],[Statut]]="","",IF(ISNA(VLOOKUP(SalCommune[[#This Row],[Statut]],'Grille communale'!$B$3:$B$5,1,FALSE))=TRUE,"Veuillez choisir le statut parmis la liste déroulante",""))</f>
        <v/>
      </c>
      <c r="B529" s="725" t="str">
        <f>IF(SalCommune[[#This Row],[Matricule]]="","",MAX($B$7:B528)+1)</f>
        <v/>
      </c>
      <c r="C529" s="8"/>
      <c r="D529" s="8"/>
      <c r="E529" s="20"/>
      <c r="F529" s="8"/>
      <c r="G529" s="8"/>
      <c r="H529" s="9"/>
      <c r="I529" s="9"/>
      <c r="J529" s="9"/>
      <c r="K529" s="10"/>
      <c r="L529" s="10"/>
      <c r="M529" s="9"/>
      <c r="N529" s="9"/>
      <c r="O529" s="9"/>
      <c r="P52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29" s="9"/>
      <c r="R529" s="9"/>
      <c r="S529" s="9"/>
      <c r="T529" s="37"/>
      <c r="U529" s="37"/>
      <c r="V529" s="37"/>
      <c r="W529" s="37"/>
      <c r="X529" s="37"/>
      <c r="Y529" s="37"/>
      <c r="Z52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29" s="37"/>
      <c r="AB529" s="66" t="str">
        <f>IF(COUNTA(SalCommune[[#This Row],[Nom]:[heures annuelles
selon contrat(s)]])=0,"",SalCommune[[#This Row],[Total global]]-ABS(SalCommune[[#This Row],[Dont non opposable]]))</f>
        <v/>
      </c>
      <c r="AC529" s="8"/>
      <c r="AD529" s="63"/>
      <c r="AE529" s="430"/>
      <c r="AF529" s="430"/>
      <c r="AG529" s="430"/>
      <c r="AH529" s="181"/>
      <c r="AI529" s="194">
        <f>IF(COUNTA(SalCommune[[#This Row],[N°]:[heures annuelles
selon contrat(s)]])=0,"",REVEX!$E$9)</f>
        <v>0</v>
      </c>
      <c r="AJ529" s="72" t="str">
        <f>IF(SalCommune[[#This Row],[Allocations fonctions]]="","",IF(ISNA(VLOOKUP(SalCommune[[#This Row],[Allocations fonctions]],DROPDOWN[Dropdown82],1,FALSE))=TRUE,"&lt;-- Veuillez choisir l'allocation parmis la liste déroulante.",""))</f>
        <v/>
      </c>
    </row>
    <row r="530" spans="1:36" x14ac:dyDescent="0.25">
      <c r="A530" s="72" t="str">
        <f>IF(SalCommune[[#This Row],[Statut]]="","",IF(ISNA(VLOOKUP(SalCommune[[#This Row],[Statut]],'Grille communale'!$B$3:$B$5,1,FALSE))=TRUE,"Veuillez choisir le statut parmis la liste déroulante",""))</f>
        <v/>
      </c>
      <c r="B530" s="725" t="str">
        <f>IF(SalCommune[[#This Row],[Matricule]]="","",MAX($B$7:B529)+1)</f>
        <v/>
      </c>
      <c r="C530" s="8"/>
      <c r="D530" s="8"/>
      <c r="E530" s="20"/>
      <c r="F530" s="8"/>
      <c r="G530" s="8"/>
      <c r="H530" s="9"/>
      <c r="I530" s="9"/>
      <c r="J530" s="9"/>
      <c r="K530" s="10"/>
      <c r="L530" s="10"/>
      <c r="M530" s="9"/>
      <c r="N530" s="9"/>
      <c r="O530" s="9"/>
      <c r="P53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0" s="9"/>
      <c r="R530" s="9"/>
      <c r="S530" s="9"/>
      <c r="T530" s="37"/>
      <c r="U530" s="37"/>
      <c r="V530" s="37"/>
      <c r="W530" s="37"/>
      <c r="X530" s="37"/>
      <c r="Y530" s="37"/>
      <c r="Z53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0" s="37"/>
      <c r="AB530" s="66" t="str">
        <f>IF(COUNTA(SalCommune[[#This Row],[Nom]:[heures annuelles
selon contrat(s)]])=0,"",SalCommune[[#This Row],[Total global]]-ABS(SalCommune[[#This Row],[Dont non opposable]]))</f>
        <v/>
      </c>
      <c r="AC530" s="8"/>
      <c r="AD530" s="63"/>
      <c r="AE530" s="430"/>
      <c r="AF530" s="430"/>
      <c r="AG530" s="430"/>
      <c r="AH530" s="181"/>
      <c r="AI530" s="194">
        <f>IF(COUNTA(SalCommune[[#This Row],[N°]:[heures annuelles
selon contrat(s)]])=0,"",REVEX!$E$9)</f>
        <v>0</v>
      </c>
      <c r="AJ530" s="72" t="str">
        <f>IF(SalCommune[[#This Row],[Allocations fonctions]]="","",IF(ISNA(VLOOKUP(SalCommune[[#This Row],[Allocations fonctions]],DROPDOWN[Dropdown82],1,FALSE))=TRUE,"&lt;-- Veuillez choisir l'allocation parmis la liste déroulante.",""))</f>
        <v/>
      </c>
    </row>
    <row r="531" spans="1:36" x14ac:dyDescent="0.25">
      <c r="A531" s="72" t="str">
        <f>IF(SalCommune[[#This Row],[Statut]]="","",IF(ISNA(VLOOKUP(SalCommune[[#This Row],[Statut]],'Grille communale'!$B$3:$B$5,1,FALSE))=TRUE,"Veuillez choisir le statut parmis la liste déroulante",""))</f>
        <v/>
      </c>
      <c r="B531" s="725" t="str">
        <f>IF(SalCommune[[#This Row],[Matricule]]="","",MAX($B$7:B530)+1)</f>
        <v/>
      </c>
      <c r="C531" s="8"/>
      <c r="D531" s="8"/>
      <c r="E531" s="20"/>
      <c r="F531" s="8"/>
      <c r="G531" s="8"/>
      <c r="H531" s="9"/>
      <c r="I531" s="9"/>
      <c r="J531" s="9"/>
      <c r="K531" s="10"/>
      <c r="L531" s="10"/>
      <c r="M531" s="9"/>
      <c r="N531" s="9"/>
      <c r="O531" s="9"/>
      <c r="P53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1" s="9"/>
      <c r="R531" s="9"/>
      <c r="S531" s="9"/>
      <c r="T531" s="37"/>
      <c r="U531" s="37"/>
      <c r="V531" s="37"/>
      <c r="W531" s="37"/>
      <c r="X531" s="37"/>
      <c r="Y531" s="37"/>
      <c r="Z53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1" s="37"/>
      <c r="AB531" s="66" t="str">
        <f>IF(COUNTA(SalCommune[[#This Row],[Nom]:[heures annuelles
selon contrat(s)]])=0,"",SalCommune[[#This Row],[Total global]]-ABS(SalCommune[[#This Row],[Dont non opposable]]))</f>
        <v/>
      </c>
      <c r="AC531" s="8"/>
      <c r="AD531" s="63"/>
      <c r="AE531" s="430"/>
      <c r="AF531" s="430"/>
      <c r="AG531" s="430"/>
      <c r="AH531" s="181"/>
      <c r="AI531" s="194">
        <f>IF(COUNTA(SalCommune[[#This Row],[N°]:[heures annuelles
selon contrat(s)]])=0,"",REVEX!$E$9)</f>
        <v>0</v>
      </c>
      <c r="AJ531" s="72" t="str">
        <f>IF(SalCommune[[#This Row],[Allocations fonctions]]="","",IF(ISNA(VLOOKUP(SalCommune[[#This Row],[Allocations fonctions]],DROPDOWN[Dropdown82],1,FALSE))=TRUE,"&lt;-- Veuillez choisir l'allocation parmis la liste déroulante.",""))</f>
        <v/>
      </c>
    </row>
    <row r="532" spans="1:36" x14ac:dyDescent="0.25">
      <c r="A532" s="72" t="str">
        <f>IF(SalCommune[[#This Row],[Statut]]="","",IF(ISNA(VLOOKUP(SalCommune[[#This Row],[Statut]],'Grille communale'!$B$3:$B$5,1,FALSE))=TRUE,"Veuillez choisir le statut parmis la liste déroulante",""))</f>
        <v/>
      </c>
      <c r="B532" s="725" t="str">
        <f>IF(SalCommune[[#This Row],[Matricule]]="","",MAX($B$7:B531)+1)</f>
        <v/>
      </c>
      <c r="C532" s="8"/>
      <c r="D532" s="8"/>
      <c r="E532" s="20"/>
      <c r="F532" s="8"/>
      <c r="G532" s="8"/>
      <c r="H532" s="9"/>
      <c r="I532" s="9"/>
      <c r="J532" s="9"/>
      <c r="K532" s="10"/>
      <c r="L532" s="10"/>
      <c r="M532" s="9"/>
      <c r="N532" s="9"/>
      <c r="O532" s="9"/>
      <c r="P53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2" s="9"/>
      <c r="R532" s="9"/>
      <c r="S532" s="9"/>
      <c r="T532" s="37"/>
      <c r="U532" s="37"/>
      <c r="V532" s="37"/>
      <c r="W532" s="37"/>
      <c r="X532" s="37"/>
      <c r="Y532" s="37"/>
      <c r="Z53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2" s="37"/>
      <c r="AB532" s="66" t="str">
        <f>IF(COUNTA(SalCommune[[#This Row],[Nom]:[heures annuelles
selon contrat(s)]])=0,"",SalCommune[[#This Row],[Total global]]-ABS(SalCommune[[#This Row],[Dont non opposable]]))</f>
        <v/>
      </c>
      <c r="AC532" s="8"/>
      <c r="AD532" s="63"/>
      <c r="AE532" s="430"/>
      <c r="AF532" s="430"/>
      <c r="AG532" s="430"/>
      <c r="AH532" s="181"/>
      <c r="AI532" s="194">
        <f>IF(COUNTA(SalCommune[[#This Row],[N°]:[heures annuelles
selon contrat(s)]])=0,"",REVEX!$E$9)</f>
        <v>0</v>
      </c>
      <c r="AJ532" s="72" t="str">
        <f>IF(SalCommune[[#This Row],[Allocations fonctions]]="","",IF(ISNA(VLOOKUP(SalCommune[[#This Row],[Allocations fonctions]],DROPDOWN[Dropdown82],1,FALSE))=TRUE,"&lt;-- Veuillez choisir l'allocation parmis la liste déroulante.",""))</f>
        <v/>
      </c>
    </row>
    <row r="533" spans="1:36" x14ac:dyDescent="0.25">
      <c r="A533" s="72" t="str">
        <f>IF(SalCommune[[#This Row],[Statut]]="","",IF(ISNA(VLOOKUP(SalCommune[[#This Row],[Statut]],'Grille communale'!$B$3:$B$5,1,FALSE))=TRUE,"Veuillez choisir le statut parmis la liste déroulante",""))</f>
        <v/>
      </c>
      <c r="B533" s="725" t="str">
        <f>IF(SalCommune[[#This Row],[Matricule]]="","",MAX($B$7:B532)+1)</f>
        <v/>
      </c>
      <c r="C533" s="8"/>
      <c r="D533" s="8"/>
      <c r="E533" s="20"/>
      <c r="F533" s="8"/>
      <c r="G533" s="8"/>
      <c r="H533" s="9"/>
      <c r="I533" s="9"/>
      <c r="J533" s="9"/>
      <c r="K533" s="10"/>
      <c r="L533" s="10"/>
      <c r="M533" s="9"/>
      <c r="N533" s="9"/>
      <c r="O533" s="9"/>
      <c r="P53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3" s="9"/>
      <c r="R533" s="9"/>
      <c r="S533" s="9"/>
      <c r="T533" s="37"/>
      <c r="U533" s="37"/>
      <c r="V533" s="37"/>
      <c r="W533" s="37"/>
      <c r="X533" s="37"/>
      <c r="Y533" s="37"/>
      <c r="Z53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3" s="37"/>
      <c r="AB533" s="66" t="str">
        <f>IF(COUNTA(SalCommune[[#This Row],[Nom]:[heures annuelles
selon contrat(s)]])=0,"",SalCommune[[#This Row],[Total global]]-ABS(SalCommune[[#This Row],[Dont non opposable]]))</f>
        <v/>
      </c>
      <c r="AC533" s="8"/>
      <c r="AD533" s="63"/>
      <c r="AE533" s="430"/>
      <c r="AF533" s="430"/>
      <c r="AG533" s="430"/>
      <c r="AH533" s="181"/>
      <c r="AI533" s="194">
        <f>IF(COUNTA(SalCommune[[#This Row],[N°]:[heures annuelles
selon contrat(s)]])=0,"",REVEX!$E$9)</f>
        <v>0</v>
      </c>
      <c r="AJ533" s="72" t="str">
        <f>IF(SalCommune[[#This Row],[Allocations fonctions]]="","",IF(ISNA(VLOOKUP(SalCommune[[#This Row],[Allocations fonctions]],DROPDOWN[Dropdown82],1,FALSE))=TRUE,"&lt;-- Veuillez choisir l'allocation parmis la liste déroulante.",""))</f>
        <v/>
      </c>
    </row>
    <row r="534" spans="1:36" x14ac:dyDescent="0.25">
      <c r="A534" s="72" t="str">
        <f>IF(SalCommune[[#This Row],[Statut]]="","",IF(ISNA(VLOOKUP(SalCommune[[#This Row],[Statut]],'Grille communale'!$B$3:$B$5,1,FALSE))=TRUE,"Veuillez choisir le statut parmis la liste déroulante",""))</f>
        <v/>
      </c>
      <c r="B534" s="725" t="str">
        <f>IF(SalCommune[[#This Row],[Matricule]]="","",MAX($B$7:B533)+1)</f>
        <v/>
      </c>
      <c r="C534" s="8"/>
      <c r="D534" s="8"/>
      <c r="E534" s="20"/>
      <c r="F534" s="8"/>
      <c r="G534" s="8"/>
      <c r="H534" s="9"/>
      <c r="I534" s="9"/>
      <c r="J534" s="9"/>
      <c r="K534" s="10"/>
      <c r="L534" s="10"/>
      <c r="M534" s="9"/>
      <c r="N534" s="9"/>
      <c r="O534" s="9"/>
      <c r="P53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4" s="9"/>
      <c r="R534" s="9"/>
      <c r="S534" s="9"/>
      <c r="T534" s="37"/>
      <c r="U534" s="37"/>
      <c r="V534" s="37"/>
      <c r="W534" s="37"/>
      <c r="X534" s="37"/>
      <c r="Y534" s="37"/>
      <c r="Z53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4" s="37"/>
      <c r="AB534" s="66" t="str">
        <f>IF(COUNTA(SalCommune[[#This Row],[Nom]:[heures annuelles
selon contrat(s)]])=0,"",SalCommune[[#This Row],[Total global]]-ABS(SalCommune[[#This Row],[Dont non opposable]]))</f>
        <v/>
      </c>
      <c r="AC534" s="8"/>
      <c r="AD534" s="63"/>
      <c r="AE534" s="430"/>
      <c r="AF534" s="430"/>
      <c r="AG534" s="430"/>
      <c r="AH534" s="181"/>
      <c r="AI534" s="194">
        <f>IF(COUNTA(SalCommune[[#This Row],[N°]:[heures annuelles
selon contrat(s)]])=0,"",REVEX!$E$9)</f>
        <v>0</v>
      </c>
      <c r="AJ534" s="72" t="str">
        <f>IF(SalCommune[[#This Row],[Allocations fonctions]]="","",IF(ISNA(VLOOKUP(SalCommune[[#This Row],[Allocations fonctions]],DROPDOWN[Dropdown82],1,FALSE))=TRUE,"&lt;-- Veuillez choisir l'allocation parmis la liste déroulante.",""))</f>
        <v/>
      </c>
    </row>
    <row r="535" spans="1:36" x14ac:dyDescent="0.25">
      <c r="A535" s="72" t="str">
        <f>IF(SalCommune[[#This Row],[Statut]]="","",IF(ISNA(VLOOKUP(SalCommune[[#This Row],[Statut]],'Grille communale'!$B$3:$B$5,1,FALSE))=TRUE,"Veuillez choisir le statut parmis la liste déroulante",""))</f>
        <v/>
      </c>
      <c r="B535" s="725" t="str">
        <f>IF(SalCommune[[#This Row],[Matricule]]="","",MAX($B$7:B534)+1)</f>
        <v/>
      </c>
      <c r="C535" s="8"/>
      <c r="D535" s="8"/>
      <c r="E535" s="20"/>
      <c r="F535" s="8"/>
      <c r="G535" s="8"/>
      <c r="H535" s="9"/>
      <c r="I535" s="9"/>
      <c r="J535" s="9"/>
      <c r="K535" s="10"/>
      <c r="L535" s="10"/>
      <c r="M535" s="9"/>
      <c r="N535" s="9"/>
      <c r="O535" s="9"/>
      <c r="P53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5" s="9"/>
      <c r="R535" s="9"/>
      <c r="S535" s="9"/>
      <c r="T535" s="37"/>
      <c r="U535" s="37"/>
      <c r="V535" s="37"/>
      <c r="W535" s="37"/>
      <c r="X535" s="37"/>
      <c r="Y535" s="37"/>
      <c r="Z53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5" s="37"/>
      <c r="AB535" s="66" t="str">
        <f>IF(COUNTA(SalCommune[[#This Row],[Nom]:[heures annuelles
selon contrat(s)]])=0,"",SalCommune[[#This Row],[Total global]]-ABS(SalCommune[[#This Row],[Dont non opposable]]))</f>
        <v/>
      </c>
      <c r="AC535" s="8"/>
      <c r="AD535" s="63"/>
      <c r="AE535" s="430"/>
      <c r="AF535" s="430"/>
      <c r="AG535" s="430"/>
      <c r="AH535" s="181"/>
      <c r="AI535" s="194">
        <f>IF(COUNTA(SalCommune[[#This Row],[N°]:[heures annuelles
selon contrat(s)]])=0,"",REVEX!$E$9)</f>
        <v>0</v>
      </c>
      <c r="AJ535" s="72" t="str">
        <f>IF(SalCommune[[#This Row],[Allocations fonctions]]="","",IF(ISNA(VLOOKUP(SalCommune[[#This Row],[Allocations fonctions]],DROPDOWN[Dropdown82],1,FALSE))=TRUE,"&lt;-- Veuillez choisir l'allocation parmis la liste déroulante.",""))</f>
        <v/>
      </c>
    </row>
    <row r="536" spans="1:36" x14ac:dyDescent="0.25">
      <c r="A536" s="72" t="str">
        <f>IF(SalCommune[[#This Row],[Statut]]="","",IF(ISNA(VLOOKUP(SalCommune[[#This Row],[Statut]],'Grille communale'!$B$3:$B$5,1,FALSE))=TRUE,"Veuillez choisir le statut parmis la liste déroulante",""))</f>
        <v/>
      </c>
      <c r="B536" s="725" t="str">
        <f>IF(SalCommune[[#This Row],[Matricule]]="","",MAX($B$7:B535)+1)</f>
        <v/>
      </c>
      <c r="C536" s="8"/>
      <c r="D536" s="8"/>
      <c r="E536" s="20"/>
      <c r="F536" s="8"/>
      <c r="G536" s="8"/>
      <c r="H536" s="9"/>
      <c r="I536" s="9"/>
      <c r="J536" s="9"/>
      <c r="K536" s="10"/>
      <c r="L536" s="10"/>
      <c r="M536" s="9"/>
      <c r="N536" s="9"/>
      <c r="O536" s="9"/>
      <c r="P53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6" s="9"/>
      <c r="R536" s="9"/>
      <c r="S536" s="9"/>
      <c r="T536" s="37"/>
      <c r="U536" s="37"/>
      <c r="V536" s="37"/>
      <c r="W536" s="37"/>
      <c r="X536" s="37"/>
      <c r="Y536" s="37"/>
      <c r="Z53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6" s="37"/>
      <c r="AB536" s="66" t="str">
        <f>IF(COUNTA(SalCommune[[#This Row],[Nom]:[heures annuelles
selon contrat(s)]])=0,"",SalCommune[[#This Row],[Total global]]-ABS(SalCommune[[#This Row],[Dont non opposable]]))</f>
        <v/>
      </c>
      <c r="AC536" s="8"/>
      <c r="AD536" s="63"/>
      <c r="AE536" s="430"/>
      <c r="AF536" s="430"/>
      <c r="AG536" s="430"/>
      <c r="AH536" s="181"/>
      <c r="AI536" s="194">
        <f>IF(COUNTA(SalCommune[[#This Row],[N°]:[heures annuelles
selon contrat(s)]])=0,"",REVEX!$E$9)</f>
        <v>0</v>
      </c>
      <c r="AJ536" s="72" t="str">
        <f>IF(SalCommune[[#This Row],[Allocations fonctions]]="","",IF(ISNA(VLOOKUP(SalCommune[[#This Row],[Allocations fonctions]],DROPDOWN[Dropdown82],1,FALSE))=TRUE,"&lt;-- Veuillez choisir l'allocation parmis la liste déroulante.",""))</f>
        <v/>
      </c>
    </row>
    <row r="537" spans="1:36" x14ac:dyDescent="0.25">
      <c r="A537" s="72" t="str">
        <f>IF(SalCommune[[#This Row],[Statut]]="","",IF(ISNA(VLOOKUP(SalCommune[[#This Row],[Statut]],'Grille communale'!$B$3:$B$5,1,FALSE))=TRUE,"Veuillez choisir le statut parmis la liste déroulante",""))</f>
        <v/>
      </c>
      <c r="B537" s="725" t="str">
        <f>IF(SalCommune[[#This Row],[Matricule]]="","",MAX($B$7:B536)+1)</f>
        <v/>
      </c>
      <c r="C537" s="8"/>
      <c r="D537" s="8"/>
      <c r="E537" s="20"/>
      <c r="F537" s="8"/>
      <c r="G537" s="8"/>
      <c r="H537" s="9"/>
      <c r="I537" s="9"/>
      <c r="J537" s="9"/>
      <c r="K537" s="10"/>
      <c r="L537" s="10"/>
      <c r="M537" s="9"/>
      <c r="N537" s="9"/>
      <c r="O537" s="9"/>
      <c r="P53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7" s="9"/>
      <c r="R537" s="9"/>
      <c r="S537" s="9"/>
      <c r="T537" s="37"/>
      <c r="U537" s="37"/>
      <c r="V537" s="37"/>
      <c r="W537" s="37"/>
      <c r="X537" s="37"/>
      <c r="Y537" s="37"/>
      <c r="Z53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7" s="37"/>
      <c r="AB537" s="66" t="str">
        <f>IF(COUNTA(SalCommune[[#This Row],[Nom]:[heures annuelles
selon contrat(s)]])=0,"",SalCommune[[#This Row],[Total global]]-ABS(SalCommune[[#This Row],[Dont non opposable]]))</f>
        <v/>
      </c>
      <c r="AC537" s="8"/>
      <c r="AD537" s="63"/>
      <c r="AE537" s="430"/>
      <c r="AF537" s="430"/>
      <c r="AG537" s="430"/>
      <c r="AH537" s="181"/>
      <c r="AI537" s="194">
        <f>IF(COUNTA(SalCommune[[#This Row],[N°]:[heures annuelles
selon contrat(s)]])=0,"",REVEX!$E$9)</f>
        <v>0</v>
      </c>
      <c r="AJ537" s="72" t="str">
        <f>IF(SalCommune[[#This Row],[Allocations fonctions]]="","",IF(ISNA(VLOOKUP(SalCommune[[#This Row],[Allocations fonctions]],DROPDOWN[Dropdown82],1,FALSE))=TRUE,"&lt;-- Veuillez choisir l'allocation parmis la liste déroulante.",""))</f>
        <v/>
      </c>
    </row>
    <row r="538" spans="1:36" x14ac:dyDescent="0.25">
      <c r="A538" s="72" t="str">
        <f>IF(SalCommune[[#This Row],[Statut]]="","",IF(ISNA(VLOOKUP(SalCommune[[#This Row],[Statut]],'Grille communale'!$B$3:$B$5,1,FALSE))=TRUE,"Veuillez choisir le statut parmis la liste déroulante",""))</f>
        <v/>
      </c>
      <c r="B538" s="725" t="str">
        <f>IF(SalCommune[[#This Row],[Matricule]]="","",MAX($B$7:B537)+1)</f>
        <v/>
      </c>
      <c r="C538" s="8"/>
      <c r="D538" s="8"/>
      <c r="E538" s="20"/>
      <c r="F538" s="8"/>
      <c r="G538" s="8"/>
      <c r="H538" s="9"/>
      <c r="I538" s="9"/>
      <c r="J538" s="9"/>
      <c r="K538" s="10"/>
      <c r="L538" s="10"/>
      <c r="M538" s="9"/>
      <c r="N538" s="9"/>
      <c r="O538" s="9"/>
      <c r="P53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8" s="9"/>
      <c r="R538" s="9"/>
      <c r="S538" s="9"/>
      <c r="T538" s="37"/>
      <c r="U538" s="37"/>
      <c r="V538" s="37"/>
      <c r="W538" s="37"/>
      <c r="X538" s="37"/>
      <c r="Y538" s="37"/>
      <c r="Z53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8" s="37"/>
      <c r="AB538" s="66" t="str">
        <f>IF(COUNTA(SalCommune[[#This Row],[Nom]:[heures annuelles
selon contrat(s)]])=0,"",SalCommune[[#This Row],[Total global]]-ABS(SalCommune[[#This Row],[Dont non opposable]]))</f>
        <v/>
      </c>
      <c r="AC538" s="8"/>
      <c r="AD538" s="63"/>
      <c r="AE538" s="430"/>
      <c r="AF538" s="430"/>
      <c r="AG538" s="430"/>
      <c r="AH538" s="181"/>
      <c r="AI538" s="194">
        <f>IF(COUNTA(SalCommune[[#This Row],[N°]:[heures annuelles
selon contrat(s)]])=0,"",REVEX!$E$9)</f>
        <v>0</v>
      </c>
      <c r="AJ538" s="72" t="str">
        <f>IF(SalCommune[[#This Row],[Allocations fonctions]]="","",IF(ISNA(VLOOKUP(SalCommune[[#This Row],[Allocations fonctions]],DROPDOWN[Dropdown82],1,FALSE))=TRUE,"&lt;-- Veuillez choisir l'allocation parmis la liste déroulante.",""))</f>
        <v/>
      </c>
    </row>
    <row r="539" spans="1:36" x14ac:dyDescent="0.25">
      <c r="A539" s="72" t="str">
        <f>IF(SalCommune[[#This Row],[Statut]]="","",IF(ISNA(VLOOKUP(SalCommune[[#This Row],[Statut]],'Grille communale'!$B$3:$B$5,1,FALSE))=TRUE,"Veuillez choisir le statut parmis la liste déroulante",""))</f>
        <v/>
      </c>
      <c r="B539" s="725" t="str">
        <f>IF(SalCommune[[#This Row],[Matricule]]="","",MAX($B$7:B538)+1)</f>
        <v/>
      </c>
      <c r="C539" s="8"/>
      <c r="D539" s="8"/>
      <c r="E539" s="20"/>
      <c r="F539" s="8"/>
      <c r="G539" s="8"/>
      <c r="H539" s="9"/>
      <c r="I539" s="9"/>
      <c r="J539" s="9"/>
      <c r="K539" s="10"/>
      <c r="L539" s="10"/>
      <c r="M539" s="9"/>
      <c r="N539" s="9"/>
      <c r="O539" s="9"/>
      <c r="P53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39" s="9"/>
      <c r="R539" s="9"/>
      <c r="S539" s="9"/>
      <c r="T539" s="37"/>
      <c r="U539" s="37"/>
      <c r="V539" s="37"/>
      <c r="W539" s="37"/>
      <c r="X539" s="37"/>
      <c r="Y539" s="37"/>
      <c r="Z53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39" s="37"/>
      <c r="AB539" s="66" t="str">
        <f>IF(COUNTA(SalCommune[[#This Row],[Nom]:[heures annuelles
selon contrat(s)]])=0,"",SalCommune[[#This Row],[Total global]]-ABS(SalCommune[[#This Row],[Dont non opposable]]))</f>
        <v/>
      </c>
      <c r="AC539" s="8"/>
      <c r="AD539" s="63"/>
      <c r="AE539" s="430"/>
      <c r="AF539" s="430"/>
      <c r="AG539" s="430"/>
      <c r="AH539" s="181"/>
      <c r="AI539" s="194">
        <f>IF(COUNTA(SalCommune[[#This Row],[N°]:[heures annuelles
selon contrat(s)]])=0,"",REVEX!$E$9)</f>
        <v>0</v>
      </c>
      <c r="AJ539" s="72" t="str">
        <f>IF(SalCommune[[#This Row],[Allocations fonctions]]="","",IF(ISNA(VLOOKUP(SalCommune[[#This Row],[Allocations fonctions]],DROPDOWN[Dropdown82],1,FALSE))=TRUE,"&lt;-- Veuillez choisir l'allocation parmis la liste déroulante.",""))</f>
        <v/>
      </c>
    </row>
    <row r="540" spans="1:36" x14ac:dyDescent="0.25">
      <c r="A540" s="72" t="str">
        <f>IF(SalCommune[[#This Row],[Statut]]="","",IF(ISNA(VLOOKUP(SalCommune[[#This Row],[Statut]],'Grille communale'!$B$3:$B$5,1,FALSE))=TRUE,"Veuillez choisir le statut parmis la liste déroulante",""))</f>
        <v/>
      </c>
      <c r="B540" s="725" t="str">
        <f>IF(SalCommune[[#This Row],[Matricule]]="","",MAX($B$7:B539)+1)</f>
        <v/>
      </c>
      <c r="C540" s="8"/>
      <c r="D540" s="8"/>
      <c r="E540" s="20"/>
      <c r="F540" s="8"/>
      <c r="G540" s="8"/>
      <c r="H540" s="9"/>
      <c r="I540" s="9"/>
      <c r="J540" s="9"/>
      <c r="K540" s="10"/>
      <c r="L540" s="10"/>
      <c r="M540" s="9"/>
      <c r="N540" s="9"/>
      <c r="O540" s="9"/>
      <c r="P54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0" s="9"/>
      <c r="R540" s="9"/>
      <c r="S540" s="9"/>
      <c r="T540" s="37"/>
      <c r="U540" s="37"/>
      <c r="V540" s="37"/>
      <c r="W540" s="37"/>
      <c r="X540" s="37"/>
      <c r="Y540" s="37"/>
      <c r="Z54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0" s="37"/>
      <c r="AB540" s="66" t="str">
        <f>IF(COUNTA(SalCommune[[#This Row],[Nom]:[heures annuelles
selon contrat(s)]])=0,"",SalCommune[[#This Row],[Total global]]-ABS(SalCommune[[#This Row],[Dont non opposable]]))</f>
        <v/>
      </c>
      <c r="AC540" s="8"/>
      <c r="AD540" s="63"/>
      <c r="AE540" s="430"/>
      <c r="AF540" s="430"/>
      <c r="AG540" s="430"/>
      <c r="AH540" s="181"/>
      <c r="AI540" s="194">
        <f>IF(COUNTA(SalCommune[[#This Row],[N°]:[heures annuelles
selon contrat(s)]])=0,"",REVEX!$E$9)</f>
        <v>0</v>
      </c>
      <c r="AJ540" s="72" t="str">
        <f>IF(SalCommune[[#This Row],[Allocations fonctions]]="","",IF(ISNA(VLOOKUP(SalCommune[[#This Row],[Allocations fonctions]],DROPDOWN[Dropdown82],1,FALSE))=TRUE,"&lt;-- Veuillez choisir l'allocation parmis la liste déroulante.",""))</f>
        <v/>
      </c>
    </row>
    <row r="541" spans="1:36" x14ac:dyDescent="0.25">
      <c r="A541" s="72" t="str">
        <f>IF(SalCommune[[#This Row],[Statut]]="","",IF(ISNA(VLOOKUP(SalCommune[[#This Row],[Statut]],'Grille communale'!$B$3:$B$5,1,FALSE))=TRUE,"Veuillez choisir le statut parmis la liste déroulante",""))</f>
        <v/>
      </c>
      <c r="B541" s="725" t="str">
        <f>IF(SalCommune[[#This Row],[Matricule]]="","",MAX($B$7:B540)+1)</f>
        <v/>
      </c>
      <c r="C541" s="8"/>
      <c r="D541" s="8"/>
      <c r="E541" s="20"/>
      <c r="F541" s="8"/>
      <c r="G541" s="8"/>
      <c r="H541" s="9"/>
      <c r="I541" s="9"/>
      <c r="J541" s="9"/>
      <c r="K541" s="10"/>
      <c r="L541" s="10"/>
      <c r="M541" s="9"/>
      <c r="N541" s="9"/>
      <c r="O541" s="9"/>
      <c r="P54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1" s="9"/>
      <c r="R541" s="9"/>
      <c r="S541" s="9"/>
      <c r="T541" s="37"/>
      <c r="U541" s="37"/>
      <c r="V541" s="37"/>
      <c r="W541" s="37"/>
      <c r="X541" s="37"/>
      <c r="Y541" s="37"/>
      <c r="Z54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1" s="37"/>
      <c r="AB541" s="66" t="str">
        <f>IF(COUNTA(SalCommune[[#This Row],[Nom]:[heures annuelles
selon contrat(s)]])=0,"",SalCommune[[#This Row],[Total global]]-ABS(SalCommune[[#This Row],[Dont non opposable]]))</f>
        <v/>
      </c>
      <c r="AC541" s="8"/>
      <c r="AD541" s="63"/>
      <c r="AE541" s="430"/>
      <c r="AF541" s="430"/>
      <c r="AG541" s="430"/>
      <c r="AH541" s="181"/>
      <c r="AI541" s="194">
        <f>IF(COUNTA(SalCommune[[#This Row],[N°]:[heures annuelles
selon contrat(s)]])=0,"",REVEX!$E$9)</f>
        <v>0</v>
      </c>
      <c r="AJ541" s="72" t="str">
        <f>IF(SalCommune[[#This Row],[Allocations fonctions]]="","",IF(ISNA(VLOOKUP(SalCommune[[#This Row],[Allocations fonctions]],DROPDOWN[Dropdown82],1,FALSE))=TRUE,"&lt;-- Veuillez choisir l'allocation parmis la liste déroulante.",""))</f>
        <v/>
      </c>
    </row>
    <row r="542" spans="1:36" x14ac:dyDescent="0.25">
      <c r="A542" s="72" t="str">
        <f>IF(SalCommune[[#This Row],[Statut]]="","",IF(ISNA(VLOOKUP(SalCommune[[#This Row],[Statut]],'Grille communale'!$B$3:$B$5,1,FALSE))=TRUE,"Veuillez choisir le statut parmis la liste déroulante",""))</f>
        <v/>
      </c>
      <c r="B542" s="725" t="str">
        <f>IF(SalCommune[[#This Row],[Matricule]]="","",MAX($B$7:B541)+1)</f>
        <v/>
      </c>
      <c r="C542" s="8"/>
      <c r="D542" s="8"/>
      <c r="E542" s="20"/>
      <c r="F542" s="8"/>
      <c r="G542" s="8"/>
      <c r="H542" s="9"/>
      <c r="I542" s="9"/>
      <c r="J542" s="9"/>
      <c r="K542" s="10"/>
      <c r="L542" s="10"/>
      <c r="M542" s="9"/>
      <c r="N542" s="9"/>
      <c r="O542" s="9"/>
      <c r="P54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2" s="9"/>
      <c r="R542" s="9"/>
      <c r="S542" s="9"/>
      <c r="T542" s="37"/>
      <c r="U542" s="37"/>
      <c r="V542" s="37"/>
      <c r="W542" s="37"/>
      <c r="X542" s="37"/>
      <c r="Y542" s="37"/>
      <c r="Z54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2" s="37"/>
      <c r="AB542" s="66" t="str">
        <f>IF(COUNTA(SalCommune[[#This Row],[Nom]:[heures annuelles
selon contrat(s)]])=0,"",SalCommune[[#This Row],[Total global]]-ABS(SalCommune[[#This Row],[Dont non opposable]]))</f>
        <v/>
      </c>
      <c r="AC542" s="8"/>
      <c r="AD542" s="63"/>
      <c r="AE542" s="430"/>
      <c r="AF542" s="430"/>
      <c r="AG542" s="430"/>
      <c r="AH542" s="181"/>
      <c r="AI542" s="194">
        <f>IF(COUNTA(SalCommune[[#This Row],[N°]:[heures annuelles
selon contrat(s)]])=0,"",REVEX!$E$9)</f>
        <v>0</v>
      </c>
      <c r="AJ542" s="72" t="str">
        <f>IF(SalCommune[[#This Row],[Allocations fonctions]]="","",IF(ISNA(VLOOKUP(SalCommune[[#This Row],[Allocations fonctions]],DROPDOWN[Dropdown82],1,FALSE))=TRUE,"&lt;-- Veuillez choisir l'allocation parmis la liste déroulante.",""))</f>
        <v/>
      </c>
    </row>
    <row r="543" spans="1:36" x14ac:dyDescent="0.25">
      <c r="A543" s="72" t="str">
        <f>IF(SalCommune[[#This Row],[Statut]]="","",IF(ISNA(VLOOKUP(SalCommune[[#This Row],[Statut]],'Grille communale'!$B$3:$B$5,1,FALSE))=TRUE,"Veuillez choisir le statut parmis la liste déroulante",""))</f>
        <v/>
      </c>
      <c r="B543" s="725" t="str">
        <f>IF(SalCommune[[#This Row],[Matricule]]="","",MAX($B$7:B542)+1)</f>
        <v/>
      </c>
      <c r="C543" s="8"/>
      <c r="D543" s="8"/>
      <c r="E543" s="20"/>
      <c r="F543" s="8"/>
      <c r="G543" s="8"/>
      <c r="H543" s="9"/>
      <c r="I543" s="9"/>
      <c r="J543" s="9"/>
      <c r="K543" s="10"/>
      <c r="L543" s="10"/>
      <c r="M543" s="9"/>
      <c r="N543" s="9"/>
      <c r="O543" s="9"/>
      <c r="P54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3" s="9"/>
      <c r="R543" s="9"/>
      <c r="S543" s="9"/>
      <c r="T543" s="37"/>
      <c r="U543" s="37"/>
      <c r="V543" s="37"/>
      <c r="W543" s="37"/>
      <c r="X543" s="37"/>
      <c r="Y543" s="37"/>
      <c r="Z54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3" s="37"/>
      <c r="AB543" s="66" t="str">
        <f>IF(COUNTA(SalCommune[[#This Row],[Nom]:[heures annuelles
selon contrat(s)]])=0,"",SalCommune[[#This Row],[Total global]]-ABS(SalCommune[[#This Row],[Dont non opposable]]))</f>
        <v/>
      </c>
      <c r="AC543" s="8"/>
      <c r="AD543" s="63"/>
      <c r="AE543" s="430"/>
      <c r="AF543" s="430"/>
      <c r="AG543" s="430"/>
      <c r="AH543" s="181"/>
      <c r="AI543" s="194">
        <f>IF(COUNTA(SalCommune[[#This Row],[N°]:[heures annuelles
selon contrat(s)]])=0,"",REVEX!$E$9)</f>
        <v>0</v>
      </c>
      <c r="AJ543" s="72" t="str">
        <f>IF(SalCommune[[#This Row],[Allocations fonctions]]="","",IF(ISNA(VLOOKUP(SalCommune[[#This Row],[Allocations fonctions]],DROPDOWN[Dropdown82],1,FALSE))=TRUE,"&lt;-- Veuillez choisir l'allocation parmis la liste déroulante.",""))</f>
        <v/>
      </c>
    </row>
    <row r="544" spans="1:36" x14ac:dyDescent="0.25">
      <c r="A544" s="72" t="str">
        <f>IF(SalCommune[[#This Row],[Statut]]="","",IF(ISNA(VLOOKUP(SalCommune[[#This Row],[Statut]],'Grille communale'!$B$3:$B$5,1,FALSE))=TRUE,"Veuillez choisir le statut parmis la liste déroulante",""))</f>
        <v/>
      </c>
      <c r="B544" s="725" t="str">
        <f>IF(SalCommune[[#This Row],[Matricule]]="","",MAX($B$7:B543)+1)</f>
        <v/>
      </c>
      <c r="C544" s="8"/>
      <c r="D544" s="8"/>
      <c r="E544" s="20"/>
      <c r="F544" s="8"/>
      <c r="G544" s="8"/>
      <c r="H544" s="9"/>
      <c r="I544" s="9"/>
      <c r="J544" s="9"/>
      <c r="K544" s="10"/>
      <c r="L544" s="10"/>
      <c r="M544" s="9"/>
      <c r="N544" s="9"/>
      <c r="O544" s="9"/>
      <c r="P54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4" s="9"/>
      <c r="R544" s="9"/>
      <c r="S544" s="9"/>
      <c r="T544" s="37"/>
      <c r="U544" s="37"/>
      <c r="V544" s="37"/>
      <c r="W544" s="37"/>
      <c r="X544" s="37"/>
      <c r="Y544" s="37"/>
      <c r="Z54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4" s="37"/>
      <c r="AB544" s="66" t="str">
        <f>IF(COUNTA(SalCommune[[#This Row],[Nom]:[heures annuelles
selon contrat(s)]])=0,"",SalCommune[[#This Row],[Total global]]-ABS(SalCommune[[#This Row],[Dont non opposable]]))</f>
        <v/>
      </c>
      <c r="AC544" s="8"/>
      <c r="AD544" s="63"/>
      <c r="AE544" s="430"/>
      <c r="AF544" s="430"/>
      <c r="AG544" s="430"/>
      <c r="AH544" s="181"/>
      <c r="AI544" s="194">
        <f>IF(COUNTA(SalCommune[[#This Row],[N°]:[heures annuelles
selon contrat(s)]])=0,"",REVEX!$E$9)</f>
        <v>0</v>
      </c>
      <c r="AJ544" s="72" t="str">
        <f>IF(SalCommune[[#This Row],[Allocations fonctions]]="","",IF(ISNA(VLOOKUP(SalCommune[[#This Row],[Allocations fonctions]],DROPDOWN[Dropdown82],1,FALSE))=TRUE,"&lt;-- Veuillez choisir l'allocation parmis la liste déroulante.",""))</f>
        <v/>
      </c>
    </row>
    <row r="545" spans="1:36" x14ac:dyDescent="0.25">
      <c r="A545" s="72" t="str">
        <f>IF(SalCommune[[#This Row],[Statut]]="","",IF(ISNA(VLOOKUP(SalCommune[[#This Row],[Statut]],'Grille communale'!$B$3:$B$5,1,FALSE))=TRUE,"Veuillez choisir le statut parmis la liste déroulante",""))</f>
        <v/>
      </c>
      <c r="B545" s="725" t="str">
        <f>IF(SalCommune[[#This Row],[Matricule]]="","",MAX($B$7:B544)+1)</f>
        <v/>
      </c>
      <c r="C545" s="8"/>
      <c r="D545" s="8"/>
      <c r="E545" s="20"/>
      <c r="F545" s="8"/>
      <c r="G545" s="8"/>
      <c r="H545" s="9"/>
      <c r="I545" s="9"/>
      <c r="J545" s="9"/>
      <c r="K545" s="10"/>
      <c r="L545" s="10"/>
      <c r="M545" s="9"/>
      <c r="N545" s="9"/>
      <c r="O545" s="9"/>
      <c r="P54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5" s="9"/>
      <c r="R545" s="9"/>
      <c r="S545" s="9"/>
      <c r="T545" s="37"/>
      <c r="U545" s="37"/>
      <c r="V545" s="37"/>
      <c r="W545" s="37"/>
      <c r="X545" s="37"/>
      <c r="Y545" s="37"/>
      <c r="Z54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5" s="37"/>
      <c r="AB545" s="66" t="str">
        <f>IF(COUNTA(SalCommune[[#This Row],[Nom]:[heures annuelles
selon contrat(s)]])=0,"",SalCommune[[#This Row],[Total global]]-ABS(SalCommune[[#This Row],[Dont non opposable]]))</f>
        <v/>
      </c>
      <c r="AC545" s="8"/>
      <c r="AD545" s="63"/>
      <c r="AE545" s="430"/>
      <c r="AF545" s="430"/>
      <c r="AG545" s="430"/>
      <c r="AH545" s="181"/>
      <c r="AI545" s="194">
        <f>IF(COUNTA(SalCommune[[#This Row],[N°]:[heures annuelles
selon contrat(s)]])=0,"",REVEX!$E$9)</f>
        <v>0</v>
      </c>
      <c r="AJ545" s="72" t="str">
        <f>IF(SalCommune[[#This Row],[Allocations fonctions]]="","",IF(ISNA(VLOOKUP(SalCommune[[#This Row],[Allocations fonctions]],DROPDOWN[Dropdown82],1,FALSE))=TRUE,"&lt;-- Veuillez choisir l'allocation parmis la liste déroulante.",""))</f>
        <v/>
      </c>
    </row>
    <row r="546" spans="1:36" x14ac:dyDescent="0.25">
      <c r="A546" s="72" t="str">
        <f>IF(SalCommune[[#This Row],[Statut]]="","",IF(ISNA(VLOOKUP(SalCommune[[#This Row],[Statut]],'Grille communale'!$B$3:$B$5,1,FALSE))=TRUE,"Veuillez choisir le statut parmis la liste déroulante",""))</f>
        <v/>
      </c>
      <c r="B546" s="725" t="str">
        <f>IF(SalCommune[[#This Row],[Matricule]]="","",MAX($B$7:B545)+1)</f>
        <v/>
      </c>
      <c r="C546" s="8"/>
      <c r="D546" s="8"/>
      <c r="E546" s="20"/>
      <c r="F546" s="8"/>
      <c r="G546" s="8"/>
      <c r="H546" s="9"/>
      <c r="I546" s="9"/>
      <c r="J546" s="9"/>
      <c r="K546" s="10"/>
      <c r="L546" s="10"/>
      <c r="M546" s="9"/>
      <c r="N546" s="9"/>
      <c r="O546" s="9"/>
      <c r="P54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6" s="9"/>
      <c r="R546" s="9"/>
      <c r="S546" s="9"/>
      <c r="T546" s="37"/>
      <c r="U546" s="37"/>
      <c r="V546" s="37"/>
      <c r="W546" s="37"/>
      <c r="X546" s="37"/>
      <c r="Y546" s="37"/>
      <c r="Z54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6" s="37"/>
      <c r="AB546" s="66" t="str">
        <f>IF(COUNTA(SalCommune[[#This Row],[Nom]:[heures annuelles
selon contrat(s)]])=0,"",SalCommune[[#This Row],[Total global]]-ABS(SalCommune[[#This Row],[Dont non opposable]]))</f>
        <v/>
      </c>
      <c r="AC546" s="8"/>
      <c r="AD546" s="63"/>
      <c r="AE546" s="430"/>
      <c r="AF546" s="430"/>
      <c r="AG546" s="430"/>
      <c r="AH546" s="181"/>
      <c r="AI546" s="194">
        <f>IF(COUNTA(SalCommune[[#This Row],[N°]:[heures annuelles
selon contrat(s)]])=0,"",REVEX!$E$9)</f>
        <v>0</v>
      </c>
      <c r="AJ546" s="72" t="str">
        <f>IF(SalCommune[[#This Row],[Allocations fonctions]]="","",IF(ISNA(VLOOKUP(SalCommune[[#This Row],[Allocations fonctions]],DROPDOWN[Dropdown82],1,FALSE))=TRUE,"&lt;-- Veuillez choisir l'allocation parmis la liste déroulante.",""))</f>
        <v/>
      </c>
    </row>
    <row r="547" spans="1:36" x14ac:dyDescent="0.25">
      <c r="A547" s="72" t="str">
        <f>IF(SalCommune[[#This Row],[Statut]]="","",IF(ISNA(VLOOKUP(SalCommune[[#This Row],[Statut]],'Grille communale'!$B$3:$B$5,1,FALSE))=TRUE,"Veuillez choisir le statut parmis la liste déroulante",""))</f>
        <v/>
      </c>
      <c r="B547" s="725" t="str">
        <f>IF(SalCommune[[#This Row],[Matricule]]="","",MAX($B$7:B546)+1)</f>
        <v/>
      </c>
      <c r="C547" s="8"/>
      <c r="D547" s="8"/>
      <c r="E547" s="20"/>
      <c r="F547" s="8"/>
      <c r="G547" s="8"/>
      <c r="H547" s="9"/>
      <c r="I547" s="9"/>
      <c r="J547" s="9"/>
      <c r="K547" s="10"/>
      <c r="L547" s="10"/>
      <c r="M547" s="9"/>
      <c r="N547" s="9"/>
      <c r="O547" s="9"/>
      <c r="P54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7" s="9"/>
      <c r="R547" s="9"/>
      <c r="S547" s="9"/>
      <c r="T547" s="37"/>
      <c r="U547" s="37"/>
      <c r="V547" s="37"/>
      <c r="W547" s="37"/>
      <c r="X547" s="37"/>
      <c r="Y547" s="37"/>
      <c r="Z54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7" s="37"/>
      <c r="AB547" s="66" t="str">
        <f>IF(COUNTA(SalCommune[[#This Row],[Nom]:[heures annuelles
selon contrat(s)]])=0,"",SalCommune[[#This Row],[Total global]]-ABS(SalCommune[[#This Row],[Dont non opposable]]))</f>
        <v/>
      </c>
      <c r="AC547" s="8"/>
      <c r="AD547" s="63"/>
      <c r="AE547" s="430"/>
      <c r="AF547" s="430"/>
      <c r="AG547" s="430"/>
      <c r="AH547" s="181"/>
      <c r="AI547" s="194">
        <f>IF(COUNTA(SalCommune[[#This Row],[N°]:[heures annuelles
selon contrat(s)]])=0,"",REVEX!$E$9)</f>
        <v>0</v>
      </c>
      <c r="AJ547" s="72" t="str">
        <f>IF(SalCommune[[#This Row],[Allocations fonctions]]="","",IF(ISNA(VLOOKUP(SalCommune[[#This Row],[Allocations fonctions]],DROPDOWN[Dropdown82],1,FALSE))=TRUE,"&lt;-- Veuillez choisir l'allocation parmis la liste déroulante.",""))</f>
        <v/>
      </c>
    </row>
    <row r="548" spans="1:36" x14ac:dyDescent="0.25">
      <c r="A548" s="72" t="str">
        <f>IF(SalCommune[[#This Row],[Statut]]="","",IF(ISNA(VLOOKUP(SalCommune[[#This Row],[Statut]],'Grille communale'!$B$3:$B$5,1,FALSE))=TRUE,"Veuillez choisir le statut parmis la liste déroulante",""))</f>
        <v/>
      </c>
      <c r="B548" s="725" t="str">
        <f>IF(SalCommune[[#This Row],[Matricule]]="","",MAX($B$7:B547)+1)</f>
        <v/>
      </c>
      <c r="C548" s="8"/>
      <c r="D548" s="8"/>
      <c r="E548" s="20"/>
      <c r="F548" s="8"/>
      <c r="G548" s="8"/>
      <c r="H548" s="9"/>
      <c r="I548" s="9"/>
      <c r="J548" s="9"/>
      <c r="K548" s="10"/>
      <c r="L548" s="10"/>
      <c r="M548" s="9"/>
      <c r="N548" s="9"/>
      <c r="O548" s="9"/>
      <c r="P54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8" s="9"/>
      <c r="R548" s="9"/>
      <c r="S548" s="9"/>
      <c r="T548" s="37"/>
      <c r="U548" s="37"/>
      <c r="V548" s="37"/>
      <c r="W548" s="37"/>
      <c r="X548" s="37"/>
      <c r="Y548" s="37"/>
      <c r="Z54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8" s="37"/>
      <c r="AB548" s="66" t="str">
        <f>IF(COUNTA(SalCommune[[#This Row],[Nom]:[heures annuelles
selon contrat(s)]])=0,"",SalCommune[[#This Row],[Total global]]-ABS(SalCommune[[#This Row],[Dont non opposable]]))</f>
        <v/>
      </c>
      <c r="AC548" s="8"/>
      <c r="AD548" s="63"/>
      <c r="AE548" s="430"/>
      <c r="AF548" s="430"/>
      <c r="AG548" s="430"/>
      <c r="AH548" s="181"/>
      <c r="AI548" s="194">
        <f>IF(COUNTA(SalCommune[[#This Row],[N°]:[heures annuelles
selon contrat(s)]])=0,"",REVEX!$E$9)</f>
        <v>0</v>
      </c>
      <c r="AJ548" s="72" t="str">
        <f>IF(SalCommune[[#This Row],[Allocations fonctions]]="","",IF(ISNA(VLOOKUP(SalCommune[[#This Row],[Allocations fonctions]],DROPDOWN[Dropdown82],1,FALSE))=TRUE,"&lt;-- Veuillez choisir l'allocation parmis la liste déroulante.",""))</f>
        <v/>
      </c>
    </row>
    <row r="549" spans="1:36" x14ac:dyDescent="0.25">
      <c r="A549" s="72" t="str">
        <f>IF(SalCommune[[#This Row],[Statut]]="","",IF(ISNA(VLOOKUP(SalCommune[[#This Row],[Statut]],'Grille communale'!$B$3:$B$5,1,FALSE))=TRUE,"Veuillez choisir le statut parmis la liste déroulante",""))</f>
        <v/>
      </c>
      <c r="B549" s="725" t="str">
        <f>IF(SalCommune[[#This Row],[Matricule]]="","",MAX($B$7:B548)+1)</f>
        <v/>
      </c>
      <c r="C549" s="8"/>
      <c r="D549" s="8"/>
      <c r="E549" s="20"/>
      <c r="F549" s="8"/>
      <c r="G549" s="8"/>
      <c r="H549" s="9"/>
      <c r="I549" s="9"/>
      <c r="J549" s="9"/>
      <c r="K549" s="10"/>
      <c r="L549" s="10"/>
      <c r="M549" s="9"/>
      <c r="N549" s="9"/>
      <c r="O549" s="9"/>
      <c r="P54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49" s="9"/>
      <c r="R549" s="9"/>
      <c r="S549" s="9"/>
      <c r="T549" s="37"/>
      <c r="U549" s="37"/>
      <c r="V549" s="37"/>
      <c r="W549" s="37"/>
      <c r="X549" s="37"/>
      <c r="Y549" s="37"/>
      <c r="Z54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49" s="37"/>
      <c r="AB549" s="66" t="str">
        <f>IF(COUNTA(SalCommune[[#This Row],[Nom]:[heures annuelles
selon contrat(s)]])=0,"",SalCommune[[#This Row],[Total global]]-ABS(SalCommune[[#This Row],[Dont non opposable]]))</f>
        <v/>
      </c>
      <c r="AC549" s="8"/>
      <c r="AD549" s="63"/>
      <c r="AE549" s="430"/>
      <c r="AF549" s="430"/>
      <c r="AG549" s="430"/>
      <c r="AH549" s="181"/>
      <c r="AI549" s="194">
        <f>IF(COUNTA(SalCommune[[#This Row],[N°]:[heures annuelles
selon contrat(s)]])=0,"",REVEX!$E$9)</f>
        <v>0</v>
      </c>
      <c r="AJ549" s="72" t="str">
        <f>IF(SalCommune[[#This Row],[Allocations fonctions]]="","",IF(ISNA(VLOOKUP(SalCommune[[#This Row],[Allocations fonctions]],DROPDOWN[Dropdown82],1,FALSE))=TRUE,"&lt;-- Veuillez choisir l'allocation parmis la liste déroulante.",""))</f>
        <v/>
      </c>
    </row>
    <row r="550" spans="1:36" x14ac:dyDescent="0.25">
      <c r="A550" s="72" t="str">
        <f>IF(SalCommune[[#This Row],[Statut]]="","",IF(ISNA(VLOOKUP(SalCommune[[#This Row],[Statut]],'Grille communale'!$B$3:$B$5,1,FALSE))=TRUE,"Veuillez choisir le statut parmis la liste déroulante",""))</f>
        <v/>
      </c>
      <c r="B550" s="725" t="str">
        <f>IF(SalCommune[[#This Row],[Matricule]]="","",MAX($B$7:B549)+1)</f>
        <v/>
      </c>
      <c r="C550" s="8"/>
      <c r="D550" s="8"/>
      <c r="E550" s="20"/>
      <c r="F550" s="8"/>
      <c r="G550" s="8"/>
      <c r="H550" s="9"/>
      <c r="I550" s="9"/>
      <c r="J550" s="9"/>
      <c r="K550" s="10"/>
      <c r="L550" s="10"/>
      <c r="M550" s="9"/>
      <c r="N550" s="9"/>
      <c r="O550" s="9"/>
      <c r="P55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0" s="9"/>
      <c r="R550" s="9"/>
      <c r="S550" s="9"/>
      <c r="T550" s="37"/>
      <c r="U550" s="37"/>
      <c r="V550" s="37"/>
      <c r="W550" s="37"/>
      <c r="X550" s="37"/>
      <c r="Y550" s="37"/>
      <c r="Z55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0" s="37"/>
      <c r="AB550" s="66" t="str">
        <f>IF(COUNTA(SalCommune[[#This Row],[Nom]:[heures annuelles
selon contrat(s)]])=0,"",SalCommune[[#This Row],[Total global]]-ABS(SalCommune[[#This Row],[Dont non opposable]]))</f>
        <v/>
      </c>
      <c r="AC550" s="8"/>
      <c r="AD550" s="63"/>
      <c r="AE550" s="430"/>
      <c r="AF550" s="430"/>
      <c r="AG550" s="430"/>
      <c r="AH550" s="181"/>
      <c r="AI550" s="194">
        <f>IF(COUNTA(SalCommune[[#This Row],[N°]:[heures annuelles
selon contrat(s)]])=0,"",REVEX!$E$9)</f>
        <v>0</v>
      </c>
      <c r="AJ550" s="72" t="str">
        <f>IF(SalCommune[[#This Row],[Allocations fonctions]]="","",IF(ISNA(VLOOKUP(SalCommune[[#This Row],[Allocations fonctions]],DROPDOWN[Dropdown82],1,FALSE))=TRUE,"&lt;-- Veuillez choisir l'allocation parmis la liste déroulante.",""))</f>
        <v/>
      </c>
    </row>
    <row r="551" spans="1:36" x14ac:dyDescent="0.25">
      <c r="A551" s="72" t="str">
        <f>IF(SalCommune[[#This Row],[Statut]]="","",IF(ISNA(VLOOKUP(SalCommune[[#This Row],[Statut]],'Grille communale'!$B$3:$B$5,1,FALSE))=TRUE,"Veuillez choisir le statut parmis la liste déroulante",""))</f>
        <v/>
      </c>
      <c r="B551" s="725" t="str">
        <f>IF(SalCommune[[#This Row],[Matricule]]="","",MAX($B$7:B550)+1)</f>
        <v/>
      </c>
      <c r="C551" s="8"/>
      <c r="D551" s="8"/>
      <c r="E551" s="20"/>
      <c r="F551" s="8"/>
      <c r="G551" s="8"/>
      <c r="H551" s="9"/>
      <c r="I551" s="9"/>
      <c r="J551" s="9"/>
      <c r="K551" s="10"/>
      <c r="L551" s="10"/>
      <c r="M551" s="9"/>
      <c r="N551" s="9"/>
      <c r="O551" s="9"/>
      <c r="P55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1" s="9"/>
      <c r="R551" s="9"/>
      <c r="S551" s="9"/>
      <c r="T551" s="37"/>
      <c r="U551" s="37"/>
      <c r="V551" s="37"/>
      <c r="W551" s="37"/>
      <c r="X551" s="37"/>
      <c r="Y551" s="37"/>
      <c r="Z55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1" s="37"/>
      <c r="AB551" s="66" t="str">
        <f>IF(COUNTA(SalCommune[[#This Row],[Nom]:[heures annuelles
selon contrat(s)]])=0,"",SalCommune[[#This Row],[Total global]]-ABS(SalCommune[[#This Row],[Dont non opposable]]))</f>
        <v/>
      </c>
      <c r="AC551" s="8"/>
      <c r="AD551" s="63"/>
      <c r="AE551" s="430"/>
      <c r="AF551" s="430"/>
      <c r="AG551" s="430"/>
      <c r="AH551" s="181"/>
      <c r="AI551" s="194">
        <f>IF(COUNTA(SalCommune[[#This Row],[N°]:[heures annuelles
selon contrat(s)]])=0,"",REVEX!$E$9)</f>
        <v>0</v>
      </c>
      <c r="AJ551" s="72" t="str">
        <f>IF(SalCommune[[#This Row],[Allocations fonctions]]="","",IF(ISNA(VLOOKUP(SalCommune[[#This Row],[Allocations fonctions]],DROPDOWN[Dropdown82],1,FALSE))=TRUE,"&lt;-- Veuillez choisir l'allocation parmis la liste déroulante.",""))</f>
        <v/>
      </c>
    </row>
    <row r="552" spans="1:36" x14ac:dyDescent="0.25">
      <c r="A552" s="72" t="str">
        <f>IF(SalCommune[[#This Row],[Statut]]="","",IF(ISNA(VLOOKUP(SalCommune[[#This Row],[Statut]],'Grille communale'!$B$3:$B$5,1,FALSE))=TRUE,"Veuillez choisir le statut parmis la liste déroulante",""))</f>
        <v/>
      </c>
      <c r="B552" s="725" t="str">
        <f>IF(SalCommune[[#This Row],[Matricule]]="","",MAX($B$7:B551)+1)</f>
        <v/>
      </c>
      <c r="C552" s="8"/>
      <c r="D552" s="8"/>
      <c r="E552" s="20"/>
      <c r="F552" s="8"/>
      <c r="G552" s="8"/>
      <c r="H552" s="9"/>
      <c r="I552" s="9"/>
      <c r="J552" s="9"/>
      <c r="K552" s="10"/>
      <c r="L552" s="10"/>
      <c r="M552" s="9"/>
      <c r="N552" s="9"/>
      <c r="O552" s="9"/>
      <c r="P55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2" s="9"/>
      <c r="R552" s="9"/>
      <c r="S552" s="9"/>
      <c r="T552" s="37"/>
      <c r="U552" s="37"/>
      <c r="V552" s="37"/>
      <c r="W552" s="37"/>
      <c r="X552" s="37"/>
      <c r="Y552" s="37"/>
      <c r="Z55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2" s="37"/>
      <c r="AB552" s="66" t="str">
        <f>IF(COUNTA(SalCommune[[#This Row],[Nom]:[heures annuelles
selon contrat(s)]])=0,"",SalCommune[[#This Row],[Total global]]-ABS(SalCommune[[#This Row],[Dont non opposable]]))</f>
        <v/>
      </c>
      <c r="AC552" s="8"/>
      <c r="AD552" s="63"/>
      <c r="AE552" s="430"/>
      <c r="AF552" s="430"/>
      <c r="AG552" s="430"/>
      <c r="AH552" s="181"/>
      <c r="AI552" s="194">
        <f>IF(COUNTA(SalCommune[[#This Row],[N°]:[heures annuelles
selon contrat(s)]])=0,"",REVEX!$E$9)</f>
        <v>0</v>
      </c>
      <c r="AJ552" s="72" t="str">
        <f>IF(SalCommune[[#This Row],[Allocations fonctions]]="","",IF(ISNA(VLOOKUP(SalCommune[[#This Row],[Allocations fonctions]],DROPDOWN[Dropdown82],1,FALSE))=TRUE,"&lt;-- Veuillez choisir l'allocation parmis la liste déroulante.",""))</f>
        <v/>
      </c>
    </row>
    <row r="553" spans="1:36" x14ac:dyDescent="0.25">
      <c r="A553" s="72" t="str">
        <f>IF(SalCommune[[#This Row],[Statut]]="","",IF(ISNA(VLOOKUP(SalCommune[[#This Row],[Statut]],'Grille communale'!$B$3:$B$5,1,FALSE))=TRUE,"Veuillez choisir le statut parmis la liste déroulante",""))</f>
        <v/>
      </c>
      <c r="B553" s="725" t="str">
        <f>IF(SalCommune[[#This Row],[Matricule]]="","",MAX($B$7:B552)+1)</f>
        <v/>
      </c>
      <c r="C553" s="8"/>
      <c r="D553" s="8"/>
      <c r="E553" s="20"/>
      <c r="F553" s="8"/>
      <c r="G553" s="8"/>
      <c r="H553" s="9"/>
      <c r="I553" s="9"/>
      <c r="J553" s="9"/>
      <c r="K553" s="10"/>
      <c r="L553" s="10"/>
      <c r="M553" s="9"/>
      <c r="N553" s="9"/>
      <c r="O553" s="9"/>
      <c r="P55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3" s="9"/>
      <c r="R553" s="9"/>
      <c r="S553" s="9"/>
      <c r="T553" s="37"/>
      <c r="U553" s="37"/>
      <c r="V553" s="37"/>
      <c r="W553" s="37"/>
      <c r="X553" s="37"/>
      <c r="Y553" s="37"/>
      <c r="Z55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3" s="37"/>
      <c r="AB553" s="66" t="str">
        <f>IF(COUNTA(SalCommune[[#This Row],[Nom]:[heures annuelles
selon contrat(s)]])=0,"",SalCommune[[#This Row],[Total global]]-ABS(SalCommune[[#This Row],[Dont non opposable]]))</f>
        <v/>
      </c>
      <c r="AC553" s="8"/>
      <c r="AD553" s="63"/>
      <c r="AE553" s="430"/>
      <c r="AF553" s="430"/>
      <c r="AG553" s="430"/>
      <c r="AH553" s="181"/>
      <c r="AI553" s="194">
        <f>IF(COUNTA(SalCommune[[#This Row],[N°]:[heures annuelles
selon contrat(s)]])=0,"",REVEX!$E$9)</f>
        <v>0</v>
      </c>
      <c r="AJ553" s="72" t="str">
        <f>IF(SalCommune[[#This Row],[Allocations fonctions]]="","",IF(ISNA(VLOOKUP(SalCommune[[#This Row],[Allocations fonctions]],DROPDOWN[Dropdown82],1,FALSE))=TRUE,"&lt;-- Veuillez choisir l'allocation parmis la liste déroulante.",""))</f>
        <v/>
      </c>
    </row>
    <row r="554" spans="1:36" x14ac:dyDescent="0.25">
      <c r="A554" s="72" t="str">
        <f>IF(SalCommune[[#This Row],[Statut]]="","",IF(ISNA(VLOOKUP(SalCommune[[#This Row],[Statut]],'Grille communale'!$B$3:$B$5,1,FALSE))=TRUE,"Veuillez choisir le statut parmis la liste déroulante",""))</f>
        <v/>
      </c>
      <c r="B554" s="725" t="str">
        <f>IF(SalCommune[[#This Row],[Matricule]]="","",MAX($B$7:B553)+1)</f>
        <v/>
      </c>
      <c r="C554" s="8"/>
      <c r="D554" s="8"/>
      <c r="E554" s="20"/>
      <c r="F554" s="8"/>
      <c r="G554" s="8"/>
      <c r="H554" s="9"/>
      <c r="I554" s="9"/>
      <c r="J554" s="9"/>
      <c r="K554" s="10"/>
      <c r="L554" s="10"/>
      <c r="M554" s="9"/>
      <c r="N554" s="9"/>
      <c r="O554" s="9"/>
      <c r="P55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4" s="9"/>
      <c r="R554" s="9"/>
      <c r="S554" s="9"/>
      <c r="T554" s="37"/>
      <c r="U554" s="37"/>
      <c r="V554" s="37"/>
      <c r="W554" s="37"/>
      <c r="X554" s="37"/>
      <c r="Y554" s="37"/>
      <c r="Z55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4" s="37"/>
      <c r="AB554" s="66" t="str">
        <f>IF(COUNTA(SalCommune[[#This Row],[Nom]:[heures annuelles
selon contrat(s)]])=0,"",SalCommune[[#This Row],[Total global]]-ABS(SalCommune[[#This Row],[Dont non opposable]]))</f>
        <v/>
      </c>
      <c r="AC554" s="8"/>
      <c r="AD554" s="63"/>
      <c r="AE554" s="430"/>
      <c r="AF554" s="430"/>
      <c r="AG554" s="430"/>
      <c r="AH554" s="181"/>
      <c r="AI554" s="194">
        <f>IF(COUNTA(SalCommune[[#This Row],[N°]:[heures annuelles
selon contrat(s)]])=0,"",REVEX!$E$9)</f>
        <v>0</v>
      </c>
      <c r="AJ554" s="72" t="str">
        <f>IF(SalCommune[[#This Row],[Allocations fonctions]]="","",IF(ISNA(VLOOKUP(SalCommune[[#This Row],[Allocations fonctions]],DROPDOWN[Dropdown82],1,FALSE))=TRUE,"&lt;-- Veuillez choisir l'allocation parmis la liste déroulante.",""))</f>
        <v/>
      </c>
    </row>
    <row r="555" spans="1:36" x14ac:dyDescent="0.25">
      <c r="A555" s="72" t="str">
        <f>IF(SalCommune[[#This Row],[Statut]]="","",IF(ISNA(VLOOKUP(SalCommune[[#This Row],[Statut]],'Grille communale'!$B$3:$B$5,1,FALSE))=TRUE,"Veuillez choisir le statut parmis la liste déroulante",""))</f>
        <v/>
      </c>
      <c r="B555" s="725" t="str">
        <f>IF(SalCommune[[#This Row],[Matricule]]="","",MAX($B$7:B554)+1)</f>
        <v/>
      </c>
      <c r="C555" s="8"/>
      <c r="D555" s="8"/>
      <c r="E555" s="20"/>
      <c r="F555" s="8"/>
      <c r="G555" s="8"/>
      <c r="H555" s="9"/>
      <c r="I555" s="9"/>
      <c r="J555" s="9"/>
      <c r="K555" s="10"/>
      <c r="L555" s="10"/>
      <c r="M555" s="9"/>
      <c r="N555" s="9"/>
      <c r="O555" s="9"/>
      <c r="P55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5" s="9"/>
      <c r="R555" s="9"/>
      <c r="S555" s="9"/>
      <c r="T555" s="37"/>
      <c r="U555" s="37"/>
      <c r="V555" s="37"/>
      <c r="W555" s="37"/>
      <c r="X555" s="37"/>
      <c r="Y555" s="37"/>
      <c r="Z55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5" s="37"/>
      <c r="AB555" s="66" t="str">
        <f>IF(COUNTA(SalCommune[[#This Row],[Nom]:[heures annuelles
selon contrat(s)]])=0,"",SalCommune[[#This Row],[Total global]]-ABS(SalCommune[[#This Row],[Dont non opposable]]))</f>
        <v/>
      </c>
      <c r="AC555" s="8"/>
      <c r="AD555" s="63"/>
      <c r="AE555" s="430"/>
      <c r="AF555" s="430"/>
      <c r="AG555" s="430"/>
      <c r="AH555" s="181"/>
      <c r="AI555" s="194">
        <f>IF(COUNTA(SalCommune[[#This Row],[N°]:[heures annuelles
selon contrat(s)]])=0,"",REVEX!$E$9)</f>
        <v>0</v>
      </c>
      <c r="AJ555" s="72" t="str">
        <f>IF(SalCommune[[#This Row],[Allocations fonctions]]="","",IF(ISNA(VLOOKUP(SalCommune[[#This Row],[Allocations fonctions]],DROPDOWN[Dropdown82],1,FALSE))=TRUE,"&lt;-- Veuillez choisir l'allocation parmis la liste déroulante.",""))</f>
        <v/>
      </c>
    </row>
    <row r="556" spans="1:36" x14ac:dyDescent="0.25">
      <c r="A556" s="72" t="str">
        <f>IF(SalCommune[[#This Row],[Statut]]="","",IF(ISNA(VLOOKUP(SalCommune[[#This Row],[Statut]],'Grille communale'!$B$3:$B$5,1,FALSE))=TRUE,"Veuillez choisir le statut parmis la liste déroulante",""))</f>
        <v/>
      </c>
      <c r="B556" s="725" t="str">
        <f>IF(SalCommune[[#This Row],[Matricule]]="","",MAX($B$7:B555)+1)</f>
        <v/>
      </c>
      <c r="C556" s="8"/>
      <c r="D556" s="8"/>
      <c r="E556" s="20"/>
      <c r="F556" s="8"/>
      <c r="G556" s="8"/>
      <c r="H556" s="9"/>
      <c r="I556" s="9"/>
      <c r="J556" s="9"/>
      <c r="K556" s="10"/>
      <c r="L556" s="10"/>
      <c r="M556" s="9"/>
      <c r="N556" s="9"/>
      <c r="O556" s="9"/>
      <c r="P55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6" s="9"/>
      <c r="R556" s="9"/>
      <c r="S556" s="9"/>
      <c r="T556" s="37"/>
      <c r="U556" s="37"/>
      <c r="V556" s="37"/>
      <c r="W556" s="37"/>
      <c r="X556" s="37"/>
      <c r="Y556" s="37"/>
      <c r="Z55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6" s="37"/>
      <c r="AB556" s="66" t="str">
        <f>IF(COUNTA(SalCommune[[#This Row],[Nom]:[heures annuelles
selon contrat(s)]])=0,"",SalCommune[[#This Row],[Total global]]-ABS(SalCommune[[#This Row],[Dont non opposable]]))</f>
        <v/>
      </c>
      <c r="AC556" s="8"/>
      <c r="AD556" s="63"/>
      <c r="AE556" s="430"/>
      <c r="AF556" s="430"/>
      <c r="AG556" s="430"/>
      <c r="AH556" s="181"/>
      <c r="AI556" s="194">
        <f>IF(COUNTA(SalCommune[[#This Row],[N°]:[heures annuelles
selon contrat(s)]])=0,"",REVEX!$E$9)</f>
        <v>0</v>
      </c>
      <c r="AJ556" s="72" t="str">
        <f>IF(SalCommune[[#This Row],[Allocations fonctions]]="","",IF(ISNA(VLOOKUP(SalCommune[[#This Row],[Allocations fonctions]],DROPDOWN[Dropdown82],1,FALSE))=TRUE,"&lt;-- Veuillez choisir l'allocation parmis la liste déroulante.",""))</f>
        <v/>
      </c>
    </row>
    <row r="557" spans="1:36" x14ac:dyDescent="0.25">
      <c r="A557" s="72" t="str">
        <f>IF(SalCommune[[#This Row],[Statut]]="","",IF(ISNA(VLOOKUP(SalCommune[[#This Row],[Statut]],'Grille communale'!$B$3:$B$5,1,FALSE))=TRUE,"Veuillez choisir le statut parmis la liste déroulante",""))</f>
        <v/>
      </c>
      <c r="B557" s="725" t="str">
        <f>IF(SalCommune[[#This Row],[Matricule]]="","",MAX($B$7:B556)+1)</f>
        <v/>
      </c>
      <c r="C557" s="8"/>
      <c r="D557" s="8"/>
      <c r="E557" s="20"/>
      <c r="F557" s="8"/>
      <c r="G557" s="8"/>
      <c r="H557" s="9"/>
      <c r="I557" s="9"/>
      <c r="J557" s="9"/>
      <c r="K557" s="10"/>
      <c r="L557" s="10"/>
      <c r="M557" s="9"/>
      <c r="N557" s="9"/>
      <c r="O557" s="9"/>
      <c r="P55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7" s="9"/>
      <c r="R557" s="9"/>
      <c r="S557" s="9"/>
      <c r="T557" s="37"/>
      <c r="U557" s="37"/>
      <c r="V557" s="37"/>
      <c r="W557" s="37"/>
      <c r="X557" s="37"/>
      <c r="Y557" s="37"/>
      <c r="Z55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7" s="37"/>
      <c r="AB557" s="66" t="str">
        <f>IF(COUNTA(SalCommune[[#This Row],[Nom]:[heures annuelles
selon contrat(s)]])=0,"",SalCommune[[#This Row],[Total global]]-ABS(SalCommune[[#This Row],[Dont non opposable]]))</f>
        <v/>
      </c>
      <c r="AC557" s="8"/>
      <c r="AD557" s="63"/>
      <c r="AE557" s="430"/>
      <c r="AF557" s="430"/>
      <c r="AG557" s="430"/>
      <c r="AH557" s="181"/>
      <c r="AI557" s="194">
        <f>IF(COUNTA(SalCommune[[#This Row],[N°]:[heures annuelles
selon contrat(s)]])=0,"",REVEX!$E$9)</f>
        <v>0</v>
      </c>
      <c r="AJ557" s="72" t="str">
        <f>IF(SalCommune[[#This Row],[Allocations fonctions]]="","",IF(ISNA(VLOOKUP(SalCommune[[#This Row],[Allocations fonctions]],DROPDOWN[Dropdown82],1,FALSE))=TRUE,"&lt;-- Veuillez choisir l'allocation parmis la liste déroulante.",""))</f>
        <v/>
      </c>
    </row>
    <row r="558" spans="1:36" x14ac:dyDescent="0.25">
      <c r="A558" s="72" t="str">
        <f>IF(SalCommune[[#This Row],[Statut]]="","",IF(ISNA(VLOOKUP(SalCommune[[#This Row],[Statut]],'Grille communale'!$B$3:$B$5,1,FALSE))=TRUE,"Veuillez choisir le statut parmis la liste déroulante",""))</f>
        <v/>
      </c>
      <c r="B558" s="725" t="str">
        <f>IF(SalCommune[[#This Row],[Matricule]]="","",MAX($B$7:B557)+1)</f>
        <v/>
      </c>
      <c r="C558" s="8"/>
      <c r="D558" s="8"/>
      <c r="E558" s="20"/>
      <c r="F558" s="8"/>
      <c r="G558" s="8"/>
      <c r="H558" s="9"/>
      <c r="I558" s="9"/>
      <c r="J558" s="9"/>
      <c r="K558" s="10"/>
      <c r="L558" s="10"/>
      <c r="M558" s="9"/>
      <c r="N558" s="9"/>
      <c r="O558" s="9"/>
      <c r="P55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8" s="9"/>
      <c r="R558" s="9"/>
      <c r="S558" s="9"/>
      <c r="T558" s="37"/>
      <c r="U558" s="37"/>
      <c r="V558" s="37"/>
      <c r="W558" s="37"/>
      <c r="X558" s="37"/>
      <c r="Y558" s="37"/>
      <c r="Z55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8" s="37"/>
      <c r="AB558" s="66" t="str">
        <f>IF(COUNTA(SalCommune[[#This Row],[Nom]:[heures annuelles
selon contrat(s)]])=0,"",SalCommune[[#This Row],[Total global]]-ABS(SalCommune[[#This Row],[Dont non opposable]]))</f>
        <v/>
      </c>
      <c r="AC558" s="8"/>
      <c r="AD558" s="63"/>
      <c r="AE558" s="430"/>
      <c r="AF558" s="430"/>
      <c r="AG558" s="430"/>
      <c r="AH558" s="181"/>
      <c r="AI558" s="194">
        <f>IF(COUNTA(SalCommune[[#This Row],[N°]:[heures annuelles
selon contrat(s)]])=0,"",REVEX!$E$9)</f>
        <v>0</v>
      </c>
      <c r="AJ558" s="72" t="str">
        <f>IF(SalCommune[[#This Row],[Allocations fonctions]]="","",IF(ISNA(VLOOKUP(SalCommune[[#This Row],[Allocations fonctions]],DROPDOWN[Dropdown82],1,FALSE))=TRUE,"&lt;-- Veuillez choisir l'allocation parmis la liste déroulante.",""))</f>
        <v/>
      </c>
    </row>
    <row r="559" spans="1:36" x14ac:dyDescent="0.25">
      <c r="A559" s="72" t="str">
        <f>IF(SalCommune[[#This Row],[Statut]]="","",IF(ISNA(VLOOKUP(SalCommune[[#This Row],[Statut]],'Grille communale'!$B$3:$B$5,1,FALSE))=TRUE,"Veuillez choisir le statut parmis la liste déroulante",""))</f>
        <v/>
      </c>
      <c r="B559" s="725" t="str">
        <f>IF(SalCommune[[#This Row],[Matricule]]="","",MAX($B$7:B558)+1)</f>
        <v/>
      </c>
      <c r="C559" s="8"/>
      <c r="D559" s="8"/>
      <c r="E559" s="20"/>
      <c r="F559" s="8"/>
      <c r="G559" s="8"/>
      <c r="H559" s="9"/>
      <c r="I559" s="9"/>
      <c r="J559" s="9"/>
      <c r="K559" s="10"/>
      <c r="L559" s="10"/>
      <c r="M559" s="9"/>
      <c r="N559" s="9"/>
      <c r="O559" s="9"/>
      <c r="P55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59" s="9"/>
      <c r="R559" s="9"/>
      <c r="S559" s="9"/>
      <c r="T559" s="37"/>
      <c r="U559" s="37"/>
      <c r="V559" s="37"/>
      <c r="W559" s="37"/>
      <c r="X559" s="37"/>
      <c r="Y559" s="37"/>
      <c r="Z55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59" s="37"/>
      <c r="AB559" s="66" t="str">
        <f>IF(COUNTA(SalCommune[[#This Row],[Nom]:[heures annuelles
selon contrat(s)]])=0,"",SalCommune[[#This Row],[Total global]]-ABS(SalCommune[[#This Row],[Dont non opposable]]))</f>
        <v/>
      </c>
      <c r="AC559" s="8"/>
      <c r="AD559" s="63"/>
      <c r="AE559" s="430"/>
      <c r="AF559" s="430"/>
      <c r="AG559" s="430"/>
      <c r="AH559" s="181"/>
      <c r="AI559" s="194">
        <f>IF(COUNTA(SalCommune[[#This Row],[N°]:[heures annuelles
selon contrat(s)]])=0,"",REVEX!$E$9)</f>
        <v>0</v>
      </c>
      <c r="AJ559" s="72" t="str">
        <f>IF(SalCommune[[#This Row],[Allocations fonctions]]="","",IF(ISNA(VLOOKUP(SalCommune[[#This Row],[Allocations fonctions]],DROPDOWN[Dropdown82],1,FALSE))=TRUE,"&lt;-- Veuillez choisir l'allocation parmis la liste déroulante.",""))</f>
        <v/>
      </c>
    </row>
    <row r="560" spans="1:36" x14ac:dyDescent="0.25">
      <c r="A560" s="72" t="str">
        <f>IF(SalCommune[[#This Row],[Statut]]="","",IF(ISNA(VLOOKUP(SalCommune[[#This Row],[Statut]],'Grille communale'!$B$3:$B$5,1,FALSE))=TRUE,"Veuillez choisir le statut parmis la liste déroulante",""))</f>
        <v/>
      </c>
      <c r="B560" s="725" t="str">
        <f>IF(SalCommune[[#This Row],[Matricule]]="","",MAX($B$7:B559)+1)</f>
        <v/>
      </c>
      <c r="C560" s="8"/>
      <c r="D560" s="8"/>
      <c r="E560" s="20"/>
      <c r="F560" s="8"/>
      <c r="G560" s="8"/>
      <c r="H560" s="9"/>
      <c r="I560" s="9"/>
      <c r="J560" s="9"/>
      <c r="K560" s="10"/>
      <c r="L560" s="10"/>
      <c r="M560" s="9"/>
      <c r="N560" s="9"/>
      <c r="O560" s="9"/>
      <c r="P56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0" s="9"/>
      <c r="R560" s="9"/>
      <c r="S560" s="9"/>
      <c r="T560" s="37"/>
      <c r="U560" s="37"/>
      <c r="V560" s="37"/>
      <c r="W560" s="37"/>
      <c r="X560" s="37"/>
      <c r="Y560" s="37"/>
      <c r="Z56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0" s="37"/>
      <c r="AB560" s="66" t="str">
        <f>IF(COUNTA(SalCommune[[#This Row],[Nom]:[heures annuelles
selon contrat(s)]])=0,"",SalCommune[[#This Row],[Total global]]-ABS(SalCommune[[#This Row],[Dont non opposable]]))</f>
        <v/>
      </c>
      <c r="AC560" s="8"/>
      <c r="AD560" s="63"/>
      <c r="AE560" s="430"/>
      <c r="AF560" s="430"/>
      <c r="AG560" s="430"/>
      <c r="AH560" s="181"/>
      <c r="AI560" s="194">
        <f>IF(COUNTA(SalCommune[[#This Row],[N°]:[heures annuelles
selon contrat(s)]])=0,"",REVEX!$E$9)</f>
        <v>0</v>
      </c>
      <c r="AJ560" s="72" t="str">
        <f>IF(SalCommune[[#This Row],[Allocations fonctions]]="","",IF(ISNA(VLOOKUP(SalCommune[[#This Row],[Allocations fonctions]],DROPDOWN[Dropdown82],1,FALSE))=TRUE,"&lt;-- Veuillez choisir l'allocation parmis la liste déroulante.",""))</f>
        <v/>
      </c>
    </row>
    <row r="561" spans="1:36" x14ac:dyDescent="0.25">
      <c r="A561" s="72" t="str">
        <f>IF(SalCommune[[#This Row],[Statut]]="","",IF(ISNA(VLOOKUP(SalCommune[[#This Row],[Statut]],'Grille communale'!$B$3:$B$5,1,FALSE))=TRUE,"Veuillez choisir le statut parmis la liste déroulante",""))</f>
        <v/>
      </c>
      <c r="B561" s="725" t="str">
        <f>IF(SalCommune[[#This Row],[Matricule]]="","",MAX($B$7:B560)+1)</f>
        <v/>
      </c>
      <c r="C561" s="8"/>
      <c r="D561" s="8"/>
      <c r="E561" s="20"/>
      <c r="F561" s="8"/>
      <c r="G561" s="8"/>
      <c r="H561" s="9"/>
      <c r="I561" s="9"/>
      <c r="J561" s="9"/>
      <c r="K561" s="10"/>
      <c r="L561" s="10"/>
      <c r="M561" s="9"/>
      <c r="N561" s="9"/>
      <c r="O561" s="9"/>
      <c r="P56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1" s="9"/>
      <c r="R561" s="9"/>
      <c r="S561" s="9"/>
      <c r="T561" s="37"/>
      <c r="U561" s="37"/>
      <c r="V561" s="37"/>
      <c r="W561" s="37"/>
      <c r="X561" s="37"/>
      <c r="Y561" s="37"/>
      <c r="Z56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1" s="37"/>
      <c r="AB561" s="66" t="str">
        <f>IF(COUNTA(SalCommune[[#This Row],[Nom]:[heures annuelles
selon contrat(s)]])=0,"",SalCommune[[#This Row],[Total global]]-ABS(SalCommune[[#This Row],[Dont non opposable]]))</f>
        <v/>
      </c>
      <c r="AC561" s="8"/>
      <c r="AD561" s="63"/>
      <c r="AE561" s="430"/>
      <c r="AF561" s="430"/>
      <c r="AG561" s="430"/>
      <c r="AH561" s="181"/>
      <c r="AI561" s="194">
        <f>IF(COUNTA(SalCommune[[#This Row],[N°]:[heures annuelles
selon contrat(s)]])=0,"",REVEX!$E$9)</f>
        <v>0</v>
      </c>
      <c r="AJ561" s="72" t="str">
        <f>IF(SalCommune[[#This Row],[Allocations fonctions]]="","",IF(ISNA(VLOOKUP(SalCommune[[#This Row],[Allocations fonctions]],DROPDOWN[Dropdown82],1,FALSE))=TRUE,"&lt;-- Veuillez choisir l'allocation parmis la liste déroulante.",""))</f>
        <v/>
      </c>
    </row>
    <row r="562" spans="1:36" x14ac:dyDescent="0.25">
      <c r="A562" s="72" t="str">
        <f>IF(SalCommune[[#This Row],[Statut]]="","",IF(ISNA(VLOOKUP(SalCommune[[#This Row],[Statut]],'Grille communale'!$B$3:$B$5,1,FALSE))=TRUE,"Veuillez choisir le statut parmis la liste déroulante",""))</f>
        <v/>
      </c>
      <c r="B562" s="725" t="str">
        <f>IF(SalCommune[[#This Row],[Matricule]]="","",MAX($B$7:B561)+1)</f>
        <v/>
      </c>
      <c r="C562" s="8"/>
      <c r="D562" s="8"/>
      <c r="E562" s="20"/>
      <c r="F562" s="8"/>
      <c r="G562" s="8"/>
      <c r="H562" s="9"/>
      <c r="I562" s="9"/>
      <c r="J562" s="9"/>
      <c r="K562" s="10"/>
      <c r="L562" s="10"/>
      <c r="M562" s="9"/>
      <c r="N562" s="9"/>
      <c r="O562" s="9"/>
      <c r="P56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2" s="9"/>
      <c r="R562" s="9"/>
      <c r="S562" s="9"/>
      <c r="T562" s="37"/>
      <c r="U562" s="37"/>
      <c r="V562" s="37"/>
      <c r="W562" s="37"/>
      <c r="X562" s="37"/>
      <c r="Y562" s="37"/>
      <c r="Z56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2" s="37"/>
      <c r="AB562" s="66" t="str">
        <f>IF(COUNTA(SalCommune[[#This Row],[Nom]:[heures annuelles
selon contrat(s)]])=0,"",SalCommune[[#This Row],[Total global]]-ABS(SalCommune[[#This Row],[Dont non opposable]]))</f>
        <v/>
      </c>
      <c r="AC562" s="8"/>
      <c r="AD562" s="63"/>
      <c r="AE562" s="430"/>
      <c r="AF562" s="430"/>
      <c r="AG562" s="430"/>
      <c r="AH562" s="181"/>
      <c r="AI562" s="194">
        <f>IF(COUNTA(SalCommune[[#This Row],[N°]:[heures annuelles
selon contrat(s)]])=0,"",REVEX!$E$9)</f>
        <v>0</v>
      </c>
      <c r="AJ562" s="72" t="str">
        <f>IF(SalCommune[[#This Row],[Allocations fonctions]]="","",IF(ISNA(VLOOKUP(SalCommune[[#This Row],[Allocations fonctions]],DROPDOWN[Dropdown82],1,FALSE))=TRUE,"&lt;-- Veuillez choisir l'allocation parmis la liste déroulante.",""))</f>
        <v/>
      </c>
    </row>
    <row r="563" spans="1:36" x14ac:dyDescent="0.25">
      <c r="A563" s="72" t="str">
        <f>IF(SalCommune[[#This Row],[Statut]]="","",IF(ISNA(VLOOKUP(SalCommune[[#This Row],[Statut]],'Grille communale'!$B$3:$B$5,1,FALSE))=TRUE,"Veuillez choisir le statut parmis la liste déroulante",""))</f>
        <v/>
      </c>
      <c r="B563" s="725" t="str">
        <f>IF(SalCommune[[#This Row],[Matricule]]="","",MAX($B$7:B562)+1)</f>
        <v/>
      </c>
      <c r="C563" s="8"/>
      <c r="D563" s="8"/>
      <c r="E563" s="20"/>
      <c r="F563" s="8"/>
      <c r="G563" s="8"/>
      <c r="H563" s="9"/>
      <c r="I563" s="9"/>
      <c r="J563" s="9"/>
      <c r="K563" s="10"/>
      <c r="L563" s="10"/>
      <c r="M563" s="9"/>
      <c r="N563" s="9"/>
      <c r="O563" s="9"/>
      <c r="P56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3" s="9"/>
      <c r="R563" s="9"/>
      <c r="S563" s="9"/>
      <c r="T563" s="37"/>
      <c r="U563" s="37"/>
      <c r="V563" s="37"/>
      <c r="W563" s="37"/>
      <c r="X563" s="37"/>
      <c r="Y563" s="37"/>
      <c r="Z56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3" s="37"/>
      <c r="AB563" s="66" t="str">
        <f>IF(COUNTA(SalCommune[[#This Row],[Nom]:[heures annuelles
selon contrat(s)]])=0,"",SalCommune[[#This Row],[Total global]]-ABS(SalCommune[[#This Row],[Dont non opposable]]))</f>
        <v/>
      </c>
      <c r="AC563" s="8"/>
      <c r="AD563" s="63"/>
      <c r="AE563" s="430"/>
      <c r="AF563" s="430"/>
      <c r="AG563" s="430"/>
      <c r="AH563" s="181"/>
      <c r="AI563" s="194">
        <f>IF(COUNTA(SalCommune[[#This Row],[N°]:[heures annuelles
selon contrat(s)]])=0,"",REVEX!$E$9)</f>
        <v>0</v>
      </c>
      <c r="AJ563" s="72" t="str">
        <f>IF(SalCommune[[#This Row],[Allocations fonctions]]="","",IF(ISNA(VLOOKUP(SalCommune[[#This Row],[Allocations fonctions]],DROPDOWN[Dropdown82],1,FALSE))=TRUE,"&lt;-- Veuillez choisir l'allocation parmis la liste déroulante.",""))</f>
        <v/>
      </c>
    </row>
    <row r="564" spans="1:36" x14ac:dyDescent="0.25">
      <c r="A564" s="72" t="str">
        <f>IF(SalCommune[[#This Row],[Statut]]="","",IF(ISNA(VLOOKUP(SalCommune[[#This Row],[Statut]],'Grille communale'!$B$3:$B$5,1,FALSE))=TRUE,"Veuillez choisir le statut parmis la liste déroulante",""))</f>
        <v/>
      </c>
      <c r="B564" s="725" t="str">
        <f>IF(SalCommune[[#This Row],[Matricule]]="","",MAX($B$7:B563)+1)</f>
        <v/>
      </c>
      <c r="C564" s="8"/>
      <c r="D564" s="8"/>
      <c r="E564" s="20"/>
      <c r="F564" s="8"/>
      <c r="G564" s="8"/>
      <c r="H564" s="9"/>
      <c r="I564" s="9"/>
      <c r="J564" s="9"/>
      <c r="K564" s="10"/>
      <c r="L564" s="10"/>
      <c r="M564" s="9"/>
      <c r="N564" s="9"/>
      <c r="O564" s="9"/>
      <c r="P56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4" s="9"/>
      <c r="R564" s="9"/>
      <c r="S564" s="9"/>
      <c r="T564" s="37"/>
      <c r="U564" s="37"/>
      <c r="V564" s="37"/>
      <c r="W564" s="37"/>
      <c r="X564" s="37"/>
      <c r="Y564" s="37"/>
      <c r="Z56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4" s="37"/>
      <c r="AB564" s="66" t="str">
        <f>IF(COUNTA(SalCommune[[#This Row],[Nom]:[heures annuelles
selon contrat(s)]])=0,"",SalCommune[[#This Row],[Total global]]-ABS(SalCommune[[#This Row],[Dont non opposable]]))</f>
        <v/>
      </c>
      <c r="AC564" s="8"/>
      <c r="AD564" s="63"/>
      <c r="AE564" s="430"/>
      <c r="AF564" s="430"/>
      <c r="AG564" s="430"/>
      <c r="AH564" s="181"/>
      <c r="AI564" s="194">
        <f>IF(COUNTA(SalCommune[[#This Row],[N°]:[heures annuelles
selon contrat(s)]])=0,"",REVEX!$E$9)</f>
        <v>0</v>
      </c>
      <c r="AJ564" s="72" t="str">
        <f>IF(SalCommune[[#This Row],[Allocations fonctions]]="","",IF(ISNA(VLOOKUP(SalCommune[[#This Row],[Allocations fonctions]],DROPDOWN[Dropdown82],1,FALSE))=TRUE,"&lt;-- Veuillez choisir l'allocation parmis la liste déroulante.",""))</f>
        <v/>
      </c>
    </row>
    <row r="565" spans="1:36" x14ac:dyDescent="0.25">
      <c r="A565" s="72" t="str">
        <f>IF(SalCommune[[#This Row],[Statut]]="","",IF(ISNA(VLOOKUP(SalCommune[[#This Row],[Statut]],'Grille communale'!$B$3:$B$5,1,FALSE))=TRUE,"Veuillez choisir le statut parmis la liste déroulante",""))</f>
        <v/>
      </c>
      <c r="B565" s="725" t="str">
        <f>IF(SalCommune[[#This Row],[Matricule]]="","",MAX($B$7:B564)+1)</f>
        <v/>
      </c>
      <c r="C565" s="8"/>
      <c r="D565" s="8"/>
      <c r="E565" s="20"/>
      <c r="F565" s="8"/>
      <c r="G565" s="8"/>
      <c r="H565" s="9"/>
      <c r="I565" s="9"/>
      <c r="J565" s="9"/>
      <c r="K565" s="10"/>
      <c r="L565" s="10"/>
      <c r="M565" s="9"/>
      <c r="N565" s="9"/>
      <c r="O565" s="9"/>
      <c r="P56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5" s="9"/>
      <c r="R565" s="9"/>
      <c r="S565" s="9"/>
      <c r="T565" s="37"/>
      <c r="U565" s="37"/>
      <c r="V565" s="37"/>
      <c r="W565" s="37"/>
      <c r="X565" s="37"/>
      <c r="Y565" s="37"/>
      <c r="Z56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5" s="37"/>
      <c r="AB565" s="66" t="str">
        <f>IF(COUNTA(SalCommune[[#This Row],[Nom]:[heures annuelles
selon contrat(s)]])=0,"",SalCommune[[#This Row],[Total global]]-ABS(SalCommune[[#This Row],[Dont non opposable]]))</f>
        <v/>
      </c>
      <c r="AC565" s="8"/>
      <c r="AD565" s="63"/>
      <c r="AE565" s="430"/>
      <c r="AF565" s="430"/>
      <c r="AG565" s="430"/>
      <c r="AH565" s="181"/>
      <c r="AI565" s="194">
        <f>IF(COUNTA(SalCommune[[#This Row],[N°]:[heures annuelles
selon contrat(s)]])=0,"",REVEX!$E$9)</f>
        <v>0</v>
      </c>
      <c r="AJ565" s="72" t="str">
        <f>IF(SalCommune[[#This Row],[Allocations fonctions]]="","",IF(ISNA(VLOOKUP(SalCommune[[#This Row],[Allocations fonctions]],DROPDOWN[Dropdown82],1,FALSE))=TRUE,"&lt;-- Veuillez choisir l'allocation parmis la liste déroulante.",""))</f>
        <v/>
      </c>
    </row>
    <row r="566" spans="1:36" x14ac:dyDescent="0.25">
      <c r="A566" s="72" t="str">
        <f>IF(SalCommune[[#This Row],[Statut]]="","",IF(ISNA(VLOOKUP(SalCommune[[#This Row],[Statut]],'Grille communale'!$B$3:$B$5,1,FALSE))=TRUE,"Veuillez choisir le statut parmis la liste déroulante",""))</f>
        <v/>
      </c>
      <c r="B566" s="725" t="str">
        <f>IF(SalCommune[[#This Row],[Matricule]]="","",MAX($B$7:B565)+1)</f>
        <v/>
      </c>
      <c r="C566" s="8"/>
      <c r="D566" s="8"/>
      <c r="E566" s="20"/>
      <c r="F566" s="8"/>
      <c r="G566" s="8"/>
      <c r="H566" s="9"/>
      <c r="I566" s="9"/>
      <c r="J566" s="9"/>
      <c r="K566" s="10"/>
      <c r="L566" s="10"/>
      <c r="M566" s="9"/>
      <c r="N566" s="9"/>
      <c r="O566" s="9"/>
      <c r="P56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6" s="9"/>
      <c r="R566" s="9"/>
      <c r="S566" s="9"/>
      <c r="T566" s="37"/>
      <c r="U566" s="37"/>
      <c r="V566" s="37"/>
      <c r="W566" s="37"/>
      <c r="X566" s="37"/>
      <c r="Y566" s="37"/>
      <c r="Z56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6" s="37"/>
      <c r="AB566" s="66" t="str">
        <f>IF(COUNTA(SalCommune[[#This Row],[Nom]:[heures annuelles
selon contrat(s)]])=0,"",SalCommune[[#This Row],[Total global]]-ABS(SalCommune[[#This Row],[Dont non opposable]]))</f>
        <v/>
      </c>
      <c r="AC566" s="8"/>
      <c r="AD566" s="63"/>
      <c r="AE566" s="430"/>
      <c r="AF566" s="430"/>
      <c r="AG566" s="430"/>
      <c r="AH566" s="181"/>
      <c r="AI566" s="194">
        <f>IF(COUNTA(SalCommune[[#This Row],[N°]:[heures annuelles
selon contrat(s)]])=0,"",REVEX!$E$9)</f>
        <v>0</v>
      </c>
      <c r="AJ566" s="72" t="str">
        <f>IF(SalCommune[[#This Row],[Allocations fonctions]]="","",IF(ISNA(VLOOKUP(SalCommune[[#This Row],[Allocations fonctions]],DROPDOWN[Dropdown82],1,FALSE))=TRUE,"&lt;-- Veuillez choisir l'allocation parmis la liste déroulante.",""))</f>
        <v/>
      </c>
    </row>
    <row r="567" spans="1:36" x14ac:dyDescent="0.25">
      <c r="A567" s="72" t="str">
        <f>IF(SalCommune[[#This Row],[Statut]]="","",IF(ISNA(VLOOKUP(SalCommune[[#This Row],[Statut]],'Grille communale'!$B$3:$B$5,1,FALSE))=TRUE,"Veuillez choisir le statut parmis la liste déroulante",""))</f>
        <v/>
      </c>
      <c r="B567" s="725" t="str">
        <f>IF(SalCommune[[#This Row],[Matricule]]="","",MAX($B$7:B566)+1)</f>
        <v/>
      </c>
      <c r="C567" s="8"/>
      <c r="D567" s="8"/>
      <c r="E567" s="20"/>
      <c r="F567" s="8"/>
      <c r="G567" s="8"/>
      <c r="H567" s="9"/>
      <c r="I567" s="9"/>
      <c r="J567" s="9"/>
      <c r="K567" s="10"/>
      <c r="L567" s="10"/>
      <c r="M567" s="9"/>
      <c r="N567" s="9"/>
      <c r="O567" s="9"/>
      <c r="P56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7" s="9"/>
      <c r="R567" s="9"/>
      <c r="S567" s="9"/>
      <c r="T567" s="37"/>
      <c r="U567" s="37"/>
      <c r="V567" s="37"/>
      <c r="W567" s="37"/>
      <c r="X567" s="37"/>
      <c r="Y567" s="37"/>
      <c r="Z56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7" s="37"/>
      <c r="AB567" s="66" t="str">
        <f>IF(COUNTA(SalCommune[[#This Row],[Nom]:[heures annuelles
selon contrat(s)]])=0,"",SalCommune[[#This Row],[Total global]]-ABS(SalCommune[[#This Row],[Dont non opposable]]))</f>
        <v/>
      </c>
      <c r="AC567" s="8"/>
      <c r="AD567" s="63"/>
      <c r="AE567" s="430"/>
      <c r="AF567" s="430"/>
      <c r="AG567" s="430"/>
      <c r="AH567" s="181"/>
      <c r="AI567" s="194">
        <f>IF(COUNTA(SalCommune[[#This Row],[N°]:[heures annuelles
selon contrat(s)]])=0,"",REVEX!$E$9)</f>
        <v>0</v>
      </c>
      <c r="AJ567" s="72" t="str">
        <f>IF(SalCommune[[#This Row],[Allocations fonctions]]="","",IF(ISNA(VLOOKUP(SalCommune[[#This Row],[Allocations fonctions]],DROPDOWN[Dropdown82],1,FALSE))=TRUE,"&lt;-- Veuillez choisir l'allocation parmis la liste déroulante.",""))</f>
        <v/>
      </c>
    </row>
    <row r="568" spans="1:36" x14ac:dyDescent="0.25">
      <c r="A568" s="72" t="str">
        <f>IF(SalCommune[[#This Row],[Statut]]="","",IF(ISNA(VLOOKUP(SalCommune[[#This Row],[Statut]],'Grille communale'!$B$3:$B$5,1,FALSE))=TRUE,"Veuillez choisir le statut parmis la liste déroulante",""))</f>
        <v/>
      </c>
      <c r="B568" s="725" t="str">
        <f>IF(SalCommune[[#This Row],[Matricule]]="","",MAX($B$7:B567)+1)</f>
        <v/>
      </c>
      <c r="C568" s="8"/>
      <c r="D568" s="8"/>
      <c r="E568" s="20"/>
      <c r="F568" s="8"/>
      <c r="G568" s="8"/>
      <c r="H568" s="9"/>
      <c r="I568" s="9"/>
      <c r="J568" s="9"/>
      <c r="K568" s="10"/>
      <c r="L568" s="10"/>
      <c r="M568" s="9"/>
      <c r="N568" s="9"/>
      <c r="O568" s="9"/>
      <c r="P56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8" s="9"/>
      <c r="R568" s="9"/>
      <c r="S568" s="9"/>
      <c r="T568" s="37"/>
      <c r="U568" s="37"/>
      <c r="V568" s="37"/>
      <c r="W568" s="37"/>
      <c r="X568" s="37"/>
      <c r="Y568" s="37"/>
      <c r="Z56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8" s="37"/>
      <c r="AB568" s="66" t="str">
        <f>IF(COUNTA(SalCommune[[#This Row],[Nom]:[heures annuelles
selon contrat(s)]])=0,"",SalCommune[[#This Row],[Total global]]-ABS(SalCommune[[#This Row],[Dont non opposable]]))</f>
        <v/>
      </c>
      <c r="AC568" s="8"/>
      <c r="AD568" s="63"/>
      <c r="AE568" s="430"/>
      <c r="AF568" s="430"/>
      <c r="AG568" s="430"/>
      <c r="AH568" s="181"/>
      <c r="AI568" s="194">
        <f>IF(COUNTA(SalCommune[[#This Row],[N°]:[heures annuelles
selon contrat(s)]])=0,"",REVEX!$E$9)</f>
        <v>0</v>
      </c>
      <c r="AJ568" s="72" t="str">
        <f>IF(SalCommune[[#This Row],[Allocations fonctions]]="","",IF(ISNA(VLOOKUP(SalCommune[[#This Row],[Allocations fonctions]],DROPDOWN[Dropdown82],1,FALSE))=TRUE,"&lt;-- Veuillez choisir l'allocation parmis la liste déroulante.",""))</f>
        <v/>
      </c>
    </row>
    <row r="569" spans="1:36" x14ac:dyDescent="0.25">
      <c r="A569" s="72" t="str">
        <f>IF(SalCommune[[#This Row],[Statut]]="","",IF(ISNA(VLOOKUP(SalCommune[[#This Row],[Statut]],'Grille communale'!$B$3:$B$5,1,FALSE))=TRUE,"Veuillez choisir le statut parmis la liste déroulante",""))</f>
        <v/>
      </c>
      <c r="B569" s="725" t="str">
        <f>IF(SalCommune[[#This Row],[Matricule]]="","",MAX($B$7:B568)+1)</f>
        <v/>
      </c>
      <c r="C569" s="8"/>
      <c r="D569" s="8"/>
      <c r="E569" s="20"/>
      <c r="F569" s="8"/>
      <c r="G569" s="8"/>
      <c r="H569" s="9"/>
      <c r="I569" s="9"/>
      <c r="J569" s="9"/>
      <c r="K569" s="10"/>
      <c r="L569" s="10"/>
      <c r="M569" s="9"/>
      <c r="N569" s="9"/>
      <c r="O569" s="9"/>
      <c r="P56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69" s="9"/>
      <c r="R569" s="9"/>
      <c r="S569" s="9"/>
      <c r="T569" s="37"/>
      <c r="U569" s="37"/>
      <c r="V569" s="37"/>
      <c r="W569" s="37"/>
      <c r="X569" s="37"/>
      <c r="Y569" s="37"/>
      <c r="Z56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69" s="37"/>
      <c r="AB569" s="66" t="str">
        <f>IF(COUNTA(SalCommune[[#This Row],[Nom]:[heures annuelles
selon contrat(s)]])=0,"",SalCommune[[#This Row],[Total global]]-ABS(SalCommune[[#This Row],[Dont non opposable]]))</f>
        <v/>
      </c>
      <c r="AC569" s="8"/>
      <c r="AD569" s="63"/>
      <c r="AE569" s="430"/>
      <c r="AF569" s="430"/>
      <c r="AG569" s="430"/>
      <c r="AH569" s="181"/>
      <c r="AI569" s="194">
        <f>IF(COUNTA(SalCommune[[#This Row],[N°]:[heures annuelles
selon contrat(s)]])=0,"",REVEX!$E$9)</f>
        <v>0</v>
      </c>
      <c r="AJ569" s="72" t="str">
        <f>IF(SalCommune[[#This Row],[Allocations fonctions]]="","",IF(ISNA(VLOOKUP(SalCommune[[#This Row],[Allocations fonctions]],DROPDOWN[Dropdown82],1,FALSE))=TRUE,"&lt;-- Veuillez choisir l'allocation parmis la liste déroulante.",""))</f>
        <v/>
      </c>
    </row>
    <row r="570" spans="1:36" x14ac:dyDescent="0.25">
      <c r="A570" s="72" t="str">
        <f>IF(SalCommune[[#This Row],[Statut]]="","",IF(ISNA(VLOOKUP(SalCommune[[#This Row],[Statut]],'Grille communale'!$B$3:$B$5,1,FALSE))=TRUE,"Veuillez choisir le statut parmis la liste déroulante",""))</f>
        <v/>
      </c>
      <c r="B570" s="725" t="str">
        <f>IF(SalCommune[[#This Row],[Matricule]]="","",MAX($B$7:B569)+1)</f>
        <v/>
      </c>
      <c r="C570" s="8"/>
      <c r="D570" s="8"/>
      <c r="E570" s="20"/>
      <c r="F570" s="8"/>
      <c r="G570" s="8"/>
      <c r="H570" s="9"/>
      <c r="I570" s="9"/>
      <c r="J570" s="9"/>
      <c r="K570" s="10"/>
      <c r="L570" s="10"/>
      <c r="M570" s="9"/>
      <c r="N570" s="9"/>
      <c r="O570" s="9"/>
      <c r="P57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0" s="9"/>
      <c r="R570" s="9"/>
      <c r="S570" s="9"/>
      <c r="T570" s="37"/>
      <c r="U570" s="37"/>
      <c r="V570" s="37"/>
      <c r="W570" s="37"/>
      <c r="X570" s="37"/>
      <c r="Y570" s="37"/>
      <c r="Z57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0" s="37"/>
      <c r="AB570" s="66" t="str">
        <f>IF(COUNTA(SalCommune[[#This Row],[Nom]:[heures annuelles
selon contrat(s)]])=0,"",SalCommune[[#This Row],[Total global]]-ABS(SalCommune[[#This Row],[Dont non opposable]]))</f>
        <v/>
      </c>
      <c r="AC570" s="8"/>
      <c r="AD570" s="63"/>
      <c r="AE570" s="430"/>
      <c r="AF570" s="430"/>
      <c r="AG570" s="430"/>
      <c r="AH570" s="181"/>
      <c r="AI570" s="194">
        <f>IF(COUNTA(SalCommune[[#This Row],[N°]:[heures annuelles
selon contrat(s)]])=0,"",REVEX!$E$9)</f>
        <v>0</v>
      </c>
      <c r="AJ570" s="72" t="str">
        <f>IF(SalCommune[[#This Row],[Allocations fonctions]]="","",IF(ISNA(VLOOKUP(SalCommune[[#This Row],[Allocations fonctions]],DROPDOWN[Dropdown82],1,FALSE))=TRUE,"&lt;-- Veuillez choisir l'allocation parmis la liste déroulante.",""))</f>
        <v/>
      </c>
    </row>
    <row r="571" spans="1:36" x14ac:dyDescent="0.25">
      <c r="A571" s="72" t="str">
        <f>IF(SalCommune[[#This Row],[Statut]]="","",IF(ISNA(VLOOKUP(SalCommune[[#This Row],[Statut]],'Grille communale'!$B$3:$B$5,1,FALSE))=TRUE,"Veuillez choisir le statut parmis la liste déroulante",""))</f>
        <v/>
      </c>
      <c r="B571" s="725" t="str">
        <f>IF(SalCommune[[#This Row],[Matricule]]="","",MAX($B$7:B570)+1)</f>
        <v/>
      </c>
      <c r="C571" s="8"/>
      <c r="D571" s="8"/>
      <c r="E571" s="20"/>
      <c r="F571" s="8"/>
      <c r="G571" s="8"/>
      <c r="H571" s="9"/>
      <c r="I571" s="9"/>
      <c r="J571" s="9"/>
      <c r="K571" s="10"/>
      <c r="L571" s="10"/>
      <c r="M571" s="9"/>
      <c r="N571" s="9"/>
      <c r="O571" s="9"/>
      <c r="P57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1" s="9"/>
      <c r="R571" s="9"/>
      <c r="S571" s="9"/>
      <c r="T571" s="37"/>
      <c r="U571" s="37"/>
      <c r="V571" s="37"/>
      <c r="W571" s="37"/>
      <c r="X571" s="37"/>
      <c r="Y571" s="37"/>
      <c r="Z57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1" s="37"/>
      <c r="AB571" s="66" t="str">
        <f>IF(COUNTA(SalCommune[[#This Row],[Nom]:[heures annuelles
selon contrat(s)]])=0,"",SalCommune[[#This Row],[Total global]]-ABS(SalCommune[[#This Row],[Dont non opposable]]))</f>
        <v/>
      </c>
      <c r="AC571" s="8"/>
      <c r="AD571" s="63"/>
      <c r="AE571" s="430"/>
      <c r="AF571" s="430"/>
      <c r="AG571" s="430"/>
      <c r="AH571" s="181"/>
      <c r="AI571" s="194">
        <f>IF(COUNTA(SalCommune[[#This Row],[N°]:[heures annuelles
selon contrat(s)]])=0,"",REVEX!$E$9)</f>
        <v>0</v>
      </c>
      <c r="AJ571" s="72" t="str">
        <f>IF(SalCommune[[#This Row],[Allocations fonctions]]="","",IF(ISNA(VLOOKUP(SalCommune[[#This Row],[Allocations fonctions]],DROPDOWN[Dropdown82],1,FALSE))=TRUE,"&lt;-- Veuillez choisir l'allocation parmis la liste déroulante.",""))</f>
        <v/>
      </c>
    </row>
    <row r="572" spans="1:36" x14ac:dyDescent="0.25">
      <c r="A572" s="72" t="str">
        <f>IF(SalCommune[[#This Row],[Statut]]="","",IF(ISNA(VLOOKUP(SalCommune[[#This Row],[Statut]],'Grille communale'!$B$3:$B$5,1,FALSE))=TRUE,"Veuillez choisir le statut parmis la liste déroulante",""))</f>
        <v/>
      </c>
      <c r="B572" s="725" t="str">
        <f>IF(SalCommune[[#This Row],[Matricule]]="","",MAX($B$7:B571)+1)</f>
        <v/>
      </c>
      <c r="C572" s="8"/>
      <c r="D572" s="8"/>
      <c r="E572" s="20"/>
      <c r="F572" s="8"/>
      <c r="G572" s="8"/>
      <c r="H572" s="9"/>
      <c r="I572" s="9"/>
      <c r="J572" s="9"/>
      <c r="K572" s="10"/>
      <c r="L572" s="10"/>
      <c r="M572" s="9"/>
      <c r="N572" s="9"/>
      <c r="O572" s="9"/>
      <c r="P57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2" s="9"/>
      <c r="R572" s="9"/>
      <c r="S572" s="9"/>
      <c r="T572" s="37"/>
      <c r="U572" s="37"/>
      <c r="V572" s="37"/>
      <c r="W572" s="37"/>
      <c r="X572" s="37"/>
      <c r="Y572" s="37"/>
      <c r="Z57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2" s="37"/>
      <c r="AB572" s="66" t="str">
        <f>IF(COUNTA(SalCommune[[#This Row],[Nom]:[heures annuelles
selon contrat(s)]])=0,"",SalCommune[[#This Row],[Total global]]-ABS(SalCommune[[#This Row],[Dont non opposable]]))</f>
        <v/>
      </c>
      <c r="AC572" s="8"/>
      <c r="AD572" s="63"/>
      <c r="AE572" s="430"/>
      <c r="AF572" s="430"/>
      <c r="AG572" s="430"/>
      <c r="AH572" s="181"/>
      <c r="AI572" s="194">
        <f>IF(COUNTA(SalCommune[[#This Row],[N°]:[heures annuelles
selon contrat(s)]])=0,"",REVEX!$E$9)</f>
        <v>0</v>
      </c>
      <c r="AJ572" s="72" t="str">
        <f>IF(SalCommune[[#This Row],[Allocations fonctions]]="","",IF(ISNA(VLOOKUP(SalCommune[[#This Row],[Allocations fonctions]],DROPDOWN[Dropdown82],1,FALSE))=TRUE,"&lt;-- Veuillez choisir l'allocation parmis la liste déroulante.",""))</f>
        <v/>
      </c>
    </row>
    <row r="573" spans="1:36" x14ac:dyDescent="0.25">
      <c r="A573" s="72" t="str">
        <f>IF(SalCommune[[#This Row],[Statut]]="","",IF(ISNA(VLOOKUP(SalCommune[[#This Row],[Statut]],'Grille communale'!$B$3:$B$5,1,FALSE))=TRUE,"Veuillez choisir le statut parmis la liste déroulante",""))</f>
        <v/>
      </c>
      <c r="B573" s="725" t="str">
        <f>IF(SalCommune[[#This Row],[Matricule]]="","",MAX($B$7:B572)+1)</f>
        <v/>
      </c>
      <c r="C573" s="8"/>
      <c r="D573" s="8"/>
      <c r="E573" s="20"/>
      <c r="F573" s="8"/>
      <c r="G573" s="8"/>
      <c r="H573" s="9"/>
      <c r="I573" s="9"/>
      <c r="J573" s="9"/>
      <c r="K573" s="10"/>
      <c r="L573" s="10"/>
      <c r="M573" s="9"/>
      <c r="N573" s="9"/>
      <c r="O573" s="9"/>
      <c r="P57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3" s="9"/>
      <c r="R573" s="9"/>
      <c r="S573" s="9"/>
      <c r="T573" s="37"/>
      <c r="U573" s="37"/>
      <c r="V573" s="37"/>
      <c r="W573" s="37"/>
      <c r="X573" s="37"/>
      <c r="Y573" s="37"/>
      <c r="Z57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3" s="37"/>
      <c r="AB573" s="66" t="str">
        <f>IF(COUNTA(SalCommune[[#This Row],[Nom]:[heures annuelles
selon contrat(s)]])=0,"",SalCommune[[#This Row],[Total global]]-ABS(SalCommune[[#This Row],[Dont non opposable]]))</f>
        <v/>
      </c>
      <c r="AC573" s="8"/>
      <c r="AD573" s="63"/>
      <c r="AE573" s="430"/>
      <c r="AF573" s="430"/>
      <c r="AG573" s="430"/>
      <c r="AH573" s="181"/>
      <c r="AI573" s="194">
        <f>IF(COUNTA(SalCommune[[#This Row],[N°]:[heures annuelles
selon contrat(s)]])=0,"",REVEX!$E$9)</f>
        <v>0</v>
      </c>
      <c r="AJ573" s="72" t="str">
        <f>IF(SalCommune[[#This Row],[Allocations fonctions]]="","",IF(ISNA(VLOOKUP(SalCommune[[#This Row],[Allocations fonctions]],DROPDOWN[Dropdown82],1,FALSE))=TRUE,"&lt;-- Veuillez choisir l'allocation parmis la liste déroulante.",""))</f>
        <v/>
      </c>
    </row>
    <row r="574" spans="1:36" x14ac:dyDescent="0.25">
      <c r="A574" s="72" t="str">
        <f>IF(SalCommune[[#This Row],[Statut]]="","",IF(ISNA(VLOOKUP(SalCommune[[#This Row],[Statut]],'Grille communale'!$B$3:$B$5,1,FALSE))=TRUE,"Veuillez choisir le statut parmis la liste déroulante",""))</f>
        <v/>
      </c>
      <c r="B574" s="725" t="str">
        <f>IF(SalCommune[[#This Row],[Matricule]]="","",MAX($B$7:B573)+1)</f>
        <v/>
      </c>
      <c r="C574" s="8"/>
      <c r="D574" s="8"/>
      <c r="E574" s="20"/>
      <c r="F574" s="8"/>
      <c r="G574" s="8"/>
      <c r="H574" s="9"/>
      <c r="I574" s="9"/>
      <c r="J574" s="9"/>
      <c r="K574" s="10"/>
      <c r="L574" s="10"/>
      <c r="M574" s="9"/>
      <c r="N574" s="9"/>
      <c r="O574" s="9"/>
      <c r="P57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4" s="9"/>
      <c r="R574" s="9"/>
      <c r="S574" s="9"/>
      <c r="T574" s="37"/>
      <c r="U574" s="37"/>
      <c r="V574" s="37"/>
      <c r="W574" s="37"/>
      <c r="X574" s="37"/>
      <c r="Y574" s="37"/>
      <c r="Z57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4" s="37"/>
      <c r="AB574" s="66" t="str">
        <f>IF(COUNTA(SalCommune[[#This Row],[Nom]:[heures annuelles
selon contrat(s)]])=0,"",SalCommune[[#This Row],[Total global]]-ABS(SalCommune[[#This Row],[Dont non opposable]]))</f>
        <v/>
      </c>
      <c r="AC574" s="8"/>
      <c r="AD574" s="63"/>
      <c r="AE574" s="430"/>
      <c r="AF574" s="430"/>
      <c r="AG574" s="430"/>
      <c r="AH574" s="181"/>
      <c r="AI574" s="194">
        <f>IF(COUNTA(SalCommune[[#This Row],[N°]:[heures annuelles
selon contrat(s)]])=0,"",REVEX!$E$9)</f>
        <v>0</v>
      </c>
      <c r="AJ574" s="72" t="str">
        <f>IF(SalCommune[[#This Row],[Allocations fonctions]]="","",IF(ISNA(VLOOKUP(SalCommune[[#This Row],[Allocations fonctions]],DROPDOWN[Dropdown82],1,FALSE))=TRUE,"&lt;-- Veuillez choisir l'allocation parmis la liste déroulante.",""))</f>
        <v/>
      </c>
    </row>
    <row r="575" spans="1:36" x14ac:dyDescent="0.25">
      <c r="A575" s="72" t="str">
        <f>IF(SalCommune[[#This Row],[Statut]]="","",IF(ISNA(VLOOKUP(SalCommune[[#This Row],[Statut]],'Grille communale'!$B$3:$B$5,1,FALSE))=TRUE,"Veuillez choisir le statut parmis la liste déroulante",""))</f>
        <v/>
      </c>
      <c r="B575" s="725" t="str">
        <f>IF(SalCommune[[#This Row],[Matricule]]="","",MAX($B$7:B574)+1)</f>
        <v/>
      </c>
      <c r="C575" s="8"/>
      <c r="D575" s="8"/>
      <c r="E575" s="20"/>
      <c r="F575" s="8"/>
      <c r="G575" s="8"/>
      <c r="H575" s="9"/>
      <c r="I575" s="9"/>
      <c r="J575" s="9"/>
      <c r="K575" s="10"/>
      <c r="L575" s="10"/>
      <c r="M575" s="9"/>
      <c r="N575" s="9"/>
      <c r="O575" s="9"/>
      <c r="P57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5" s="9"/>
      <c r="R575" s="9"/>
      <c r="S575" s="9"/>
      <c r="T575" s="37"/>
      <c r="U575" s="37"/>
      <c r="V575" s="37"/>
      <c r="W575" s="37"/>
      <c r="X575" s="37"/>
      <c r="Y575" s="37"/>
      <c r="Z57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5" s="37"/>
      <c r="AB575" s="66" t="str">
        <f>IF(COUNTA(SalCommune[[#This Row],[Nom]:[heures annuelles
selon contrat(s)]])=0,"",SalCommune[[#This Row],[Total global]]-ABS(SalCommune[[#This Row],[Dont non opposable]]))</f>
        <v/>
      </c>
      <c r="AC575" s="8"/>
      <c r="AD575" s="63"/>
      <c r="AE575" s="430"/>
      <c r="AF575" s="430"/>
      <c r="AG575" s="430"/>
      <c r="AH575" s="181"/>
      <c r="AI575" s="194">
        <f>IF(COUNTA(SalCommune[[#This Row],[N°]:[heures annuelles
selon contrat(s)]])=0,"",REVEX!$E$9)</f>
        <v>0</v>
      </c>
      <c r="AJ575" s="72" t="str">
        <f>IF(SalCommune[[#This Row],[Allocations fonctions]]="","",IF(ISNA(VLOOKUP(SalCommune[[#This Row],[Allocations fonctions]],DROPDOWN[Dropdown82],1,FALSE))=TRUE,"&lt;-- Veuillez choisir l'allocation parmis la liste déroulante.",""))</f>
        <v/>
      </c>
    </row>
    <row r="576" spans="1:36" x14ac:dyDescent="0.25">
      <c r="A576" s="72" t="str">
        <f>IF(SalCommune[[#This Row],[Statut]]="","",IF(ISNA(VLOOKUP(SalCommune[[#This Row],[Statut]],'Grille communale'!$B$3:$B$5,1,FALSE))=TRUE,"Veuillez choisir le statut parmis la liste déroulante",""))</f>
        <v/>
      </c>
      <c r="B576" s="725" t="str">
        <f>IF(SalCommune[[#This Row],[Matricule]]="","",MAX($B$7:B575)+1)</f>
        <v/>
      </c>
      <c r="C576" s="8"/>
      <c r="D576" s="8"/>
      <c r="E576" s="20"/>
      <c r="F576" s="8"/>
      <c r="G576" s="8"/>
      <c r="H576" s="9"/>
      <c r="I576" s="9"/>
      <c r="J576" s="9"/>
      <c r="K576" s="10"/>
      <c r="L576" s="10"/>
      <c r="M576" s="9"/>
      <c r="N576" s="9"/>
      <c r="O576" s="9"/>
      <c r="P57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6" s="9"/>
      <c r="R576" s="9"/>
      <c r="S576" s="9"/>
      <c r="T576" s="37"/>
      <c r="U576" s="37"/>
      <c r="V576" s="37"/>
      <c r="W576" s="37"/>
      <c r="X576" s="37"/>
      <c r="Y576" s="37"/>
      <c r="Z57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6" s="37"/>
      <c r="AB576" s="66" t="str">
        <f>IF(COUNTA(SalCommune[[#This Row],[Nom]:[heures annuelles
selon contrat(s)]])=0,"",SalCommune[[#This Row],[Total global]]-ABS(SalCommune[[#This Row],[Dont non opposable]]))</f>
        <v/>
      </c>
      <c r="AC576" s="8"/>
      <c r="AD576" s="63"/>
      <c r="AE576" s="430"/>
      <c r="AF576" s="430"/>
      <c r="AG576" s="430"/>
      <c r="AH576" s="181"/>
      <c r="AI576" s="194">
        <f>IF(COUNTA(SalCommune[[#This Row],[N°]:[heures annuelles
selon contrat(s)]])=0,"",REVEX!$E$9)</f>
        <v>0</v>
      </c>
      <c r="AJ576" s="72" t="str">
        <f>IF(SalCommune[[#This Row],[Allocations fonctions]]="","",IF(ISNA(VLOOKUP(SalCommune[[#This Row],[Allocations fonctions]],DROPDOWN[Dropdown82],1,FALSE))=TRUE,"&lt;-- Veuillez choisir l'allocation parmis la liste déroulante.",""))</f>
        <v/>
      </c>
    </row>
    <row r="577" spans="1:36" x14ac:dyDescent="0.25">
      <c r="A577" s="72" t="str">
        <f>IF(SalCommune[[#This Row],[Statut]]="","",IF(ISNA(VLOOKUP(SalCommune[[#This Row],[Statut]],'Grille communale'!$B$3:$B$5,1,FALSE))=TRUE,"Veuillez choisir le statut parmis la liste déroulante",""))</f>
        <v/>
      </c>
      <c r="B577" s="725" t="str">
        <f>IF(SalCommune[[#This Row],[Matricule]]="","",MAX($B$7:B576)+1)</f>
        <v/>
      </c>
      <c r="C577" s="8"/>
      <c r="D577" s="8"/>
      <c r="E577" s="20"/>
      <c r="F577" s="8"/>
      <c r="G577" s="8"/>
      <c r="H577" s="9"/>
      <c r="I577" s="9"/>
      <c r="J577" s="9"/>
      <c r="K577" s="10"/>
      <c r="L577" s="10"/>
      <c r="M577" s="9"/>
      <c r="N577" s="9"/>
      <c r="O577" s="9"/>
      <c r="P57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7" s="9"/>
      <c r="R577" s="9"/>
      <c r="S577" s="9"/>
      <c r="T577" s="37"/>
      <c r="U577" s="37"/>
      <c r="V577" s="37"/>
      <c r="W577" s="37"/>
      <c r="X577" s="37"/>
      <c r="Y577" s="37"/>
      <c r="Z57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7" s="37"/>
      <c r="AB577" s="66" t="str">
        <f>IF(COUNTA(SalCommune[[#This Row],[Nom]:[heures annuelles
selon contrat(s)]])=0,"",SalCommune[[#This Row],[Total global]]-ABS(SalCommune[[#This Row],[Dont non opposable]]))</f>
        <v/>
      </c>
      <c r="AC577" s="8"/>
      <c r="AD577" s="63"/>
      <c r="AE577" s="430"/>
      <c r="AF577" s="430"/>
      <c r="AG577" s="430"/>
      <c r="AH577" s="181"/>
      <c r="AI577" s="194">
        <f>IF(COUNTA(SalCommune[[#This Row],[N°]:[heures annuelles
selon contrat(s)]])=0,"",REVEX!$E$9)</f>
        <v>0</v>
      </c>
      <c r="AJ577" s="72" t="str">
        <f>IF(SalCommune[[#This Row],[Allocations fonctions]]="","",IF(ISNA(VLOOKUP(SalCommune[[#This Row],[Allocations fonctions]],DROPDOWN[Dropdown82],1,FALSE))=TRUE,"&lt;-- Veuillez choisir l'allocation parmis la liste déroulante.",""))</f>
        <v/>
      </c>
    </row>
    <row r="578" spans="1:36" x14ac:dyDescent="0.25">
      <c r="A578" s="72" t="str">
        <f>IF(SalCommune[[#This Row],[Statut]]="","",IF(ISNA(VLOOKUP(SalCommune[[#This Row],[Statut]],'Grille communale'!$B$3:$B$5,1,FALSE))=TRUE,"Veuillez choisir le statut parmis la liste déroulante",""))</f>
        <v/>
      </c>
      <c r="B578" s="725" t="str">
        <f>IF(SalCommune[[#This Row],[Matricule]]="","",MAX($B$7:B577)+1)</f>
        <v/>
      </c>
      <c r="C578" s="8"/>
      <c r="D578" s="8"/>
      <c r="E578" s="20"/>
      <c r="F578" s="8"/>
      <c r="G578" s="8"/>
      <c r="H578" s="9"/>
      <c r="I578" s="9"/>
      <c r="J578" s="9"/>
      <c r="K578" s="10"/>
      <c r="L578" s="10"/>
      <c r="M578" s="9"/>
      <c r="N578" s="9"/>
      <c r="O578" s="9"/>
      <c r="P57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8" s="9"/>
      <c r="R578" s="9"/>
      <c r="S578" s="9"/>
      <c r="T578" s="37"/>
      <c r="U578" s="37"/>
      <c r="V578" s="37"/>
      <c r="W578" s="37"/>
      <c r="X578" s="37"/>
      <c r="Y578" s="37"/>
      <c r="Z57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8" s="37"/>
      <c r="AB578" s="66" t="str">
        <f>IF(COUNTA(SalCommune[[#This Row],[Nom]:[heures annuelles
selon contrat(s)]])=0,"",SalCommune[[#This Row],[Total global]]-ABS(SalCommune[[#This Row],[Dont non opposable]]))</f>
        <v/>
      </c>
      <c r="AC578" s="8"/>
      <c r="AD578" s="63"/>
      <c r="AE578" s="430"/>
      <c r="AF578" s="430"/>
      <c r="AG578" s="430"/>
      <c r="AH578" s="181"/>
      <c r="AI578" s="194">
        <f>IF(COUNTA(SalCommune[[#This Row],[N°]:[heures annuelles
selon contrat(s)]])=0,"",REVEX!$E$9)</f>
        <v>0</v>
      </c>
      <c r="AJ578" s="72" t="str">
        <f>IF(SalCommune[[#This Row],[Allocations fonctions]]="","",IF(ISNA(VLOOKUP(SalCommune[[#This Row],[Allocations fonctions]],DROPDOWN[Dropdown82],1,FALSE))=TRUE,"&lt;-- Veuillez choisir l'allocation parmis la liste déroulante.",""))</f>
        <v/>
      </c>
    </row>
    <row r="579" spans="1:36" x14ac:dyDescent="0.25">
      <c r="A579" s="72" t="str">
        <f>IF(SalCommune[[#This Row],[Statut]]="","",IF(ISNA(VLOOKUP(SalCommune[[#This Row],[Statut]],'Grille communale'!$B$3:$B$5,1,FALSE))=TRUE,"Veuillez choisir le statut parmis la liste déroulante",""))</f>
        <v/>
      </c>
      <c r="B579" s="725" t="str">
        <f>IF(SalCommune[[#This Row],[Matricule]]="","",MAX($B$7:B578)+1)</f>
        <v/>
      </c>
      <c r="C579" s="8"/>
      <c r="D579" s="8"/>
      <c r="E579" s="20"/>
      <c r="F579" s="8"/>
      <c r="G579" s="8"/>
      <c r="H579" s="9"/>
      <c r="I579" s="9"/>
      <c r="J579" s="9"/>
      <c r="K579" s="10"/>
      <c r="L579" s="10"/>
      <c r="M579" s="9"/>
      <c r="N579" s="9"/>
      <c r="O579" s="9"/>
      <c r="P57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79" s="9"/>
      <c r="R579" s="9"/>
      <c r="S579" s="9"/>
      <c r="T579" s="37"/>
      <c r="U579" s="37"/>
      <c r="V579" s="37"/>
      <c r="W579" s="37"/>
      <c r="X579" s="37"/>
      <c r="Y579" s="37"/>
      <c r="Z57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79" s="37"/>
      <c r="AB579" s="66" t="str">
        <f>IF(COUNTA(SalCommune[[#This Row],[Nom]:[heures annuelles
selon contrat(s)]])=0,"",SalCommune[[#This Row],[Total global]]-ABS(SalCommune[[#This Row],[Dont non opposable]]))</f>
        <v/>
      </c>
      <c r="AC579" s="8"/>
      <c r="AD579" s="63"/>
      <c r="AE579" s="430"/>
      <c r="AF579" s="430"/>
      <c r="AG579" s="430"/>
      <c r="AH579" s="181"/>
      <c r="AI579" s="194">
        <f>IF(COUNTA(SalCommune[[#This Row],[N°]:[heures annuelles
selon contrat(s)]])=0,"",REVEX!$E$9)</f>
        <v>0</v>
      </c>
      <c r="AJ579" s="72" t="str">
        <f>IF(SalCommune[[#This Row],[Allocations fonctions]]="","",IF(ISNA(VLOOKUP(SalCommune[[#This Row],[Allocations fonctions]],DROPDOWN[Dropdown82],1,FALSE))=TRUE,"&lt;-- Veuillez choisir l'allocation parmis la liste déroulante.",""))</f>
        <v/>
      </c>
    </row>
    <row r="580" spans="1:36" x14ac:dyDescent="0.25">
      <c r="A580" s="72" t="str">
        <f>IF(SalCommune[[#This Row],[Statut]]="","",IF(ISNA(VLOOKUP(SalCommune[[#This Row],[Statut]],'Grille communale'!$B$3:$B$5,1,FALSE))=TRUE,"Veuillez choisir le statut parmis la liste déroulante",""))</f>
        <v/>
      </c>
      <c r="B580" s="725" t="str">
        <f>IF(SalCommune[[#This Row],[Matricule]]="","",MAX($B$7:B579)+1)</f>
        <v/>
      </c>
      <c r="C580" s="8"/>
      <c r="D580" s="8"/>
      <c r="E580" s="20"/>
      <c r="F580" s="8"/>
      <c r="G580" s="8"/>
      <c r="H580" s="9"/>
      <c r="I580" s="9"/>
      <c r="J580" s="9"/>
      <c r="K580" s="10"/>
      <c r="L580" s="10"/>
      <c r="M580" s="9"/>
      <c r="N580" s="9"/>
      <c r="O580" s="9"/>
      <c r="P58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0" s="9"/>
      <c r="R580" s="9"/>
      <c r="S580" s="9"/>
      <c r="T580" s="37"/>
      <c r="U580" s="37"/>
      <c r="V580" s="37"/>
      <c r="W580" s="37"/>
      <c r="X580" s="37"/>
      <c r="Y580" s="37"/>
      <c r="Z58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0" s="37"/>
      <c r="AB580" s="66" t="str">
        <f>IF(COUNTA(SalCommune[[#This Row],[Nom]:[heures annuelles
selon contrat(s)]])=0,"",SalCommune[[#This Row],[Total global]]-ABS(SalCommune[[#This Row],[Dont non opposable]]))</f>
        <v/>
      </c>
      <c r="AC580" s="8"/>
      <c r="AD580" s="63"/>
      <c r="AE580" s="430"/>
      <c r="AF580" s="430"/>
      <c r="AG580" s="430"/>
      <c r="AH580" s="181"/>
      <c r="AI580" s="194">
        <f>IF(COUNTA(SalCommune[[#This Row],[N°]:[heures annuelles
selon contrat(s)]])=0,"",REVEX!$E$9)</f>
        <v>0</v>
      </c>
      <c r="AJ580" s="72" t="str">
        <f>IF(SalCommune[[#This Row],[Allocations fonctions]]="","",IF(ISNA(VLOOKUP(SalCommune[[#This Row],[Allocations fonctions]],DROPDOWN[Dropdown82],1,FALSE))=TRUE,"&lt;-- Veuillez choisir l'allocation parmis la liste déroulante.",""))</f>
        <v/>
      </c>
    </row>
    <row r="581" spans="1:36" x14ac:dyDescent="0.25">
      <c r="A581" s="72" t="str">
        <f>IF(SalCommune[[#This Row],[Statut]]="","",IF(ISNA(VLOOKUP(SalCommune[[#This Row],[Statut]],'Grille communale'!$B$3:$B$5,1,FALSE))=TRUE,"Veuillez choisir le statut parmis la liste déroulante",""))</f>
        <v/>
      </c>
      <c r="B581" s="725" t="str">
        <f>IF(SalCommune[[#This Row],[Matricule]]="","",MAX($B$7:B580)+1)</f>
        <v/>
      </c>
      <c r="C581" s="8"/>
      <c r="D581" s="8"/>
      <c r="E581" s="20"/>
      <c r="F581" s="8"/>
      <c r="G581" s="8"/>
      <c r="H581" s="9"/>
      <c r="I581" s="9"/>
      <c r="J581" s="9"/>
      <c r="K581" s="10"/>
      <c r="L581" s="10"/>
      <c r="M581" s="9"/>
      <c r="N581" s="9"/>
      <c r="O581" s="9"/>
      <c r="P58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1" s="9"/>
      <c r="R581" s="9"/>
      <c r="S581" s="9"/>
      <c r="T581" s="37"/>
      <c r="U581" s="37"/>
      <c r="V581" s="37"/>
      <c r="W581" s="37"/>
      <c r="X581" s="37"/>
      <c r="Y581" s="37"/>
      <c r="Z58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1" s="37"/>
      <c r="AB581" s="66" t="str">
        <f>IF(COUNTA(SalCommune[[#This Row],[Nom]:[heures annuelles
selon contrat(s)]])=0,"",SalCommune[[#This Row],[Total global]]-ABS(SalCommune[[#This Row],[Dont non opposable]]))</f>
        <v/>
      </c>
      <c r="AC581" s="8"/>
      <c r="AD581" s="63"/>
      <c r="AE581" s="430"/>
      <c r="AF581" s="430"/>
      <c r="AG581" s="430"/>
      <c r="AH581" s="181"/>
      <c r="AI581" s="194">
        <f>IF(COUNTA(SalCommune[[#This Row],[N°]:[heures annuelles
selon contrat(s)]])=0,"",REVEX!$E$9)</f>
        <v>0</v>
      </c>
      <c r="AJ581" s="72" t="str">
        <f>IF(SalCommune[[#This Row],[Allocations fonctions]]="","",IF(ISNA(VLOOKUP(SalCommune[[#This Row],[Allocations fonctions]],DROPDOWN[Dropdown82],1,FALSE))=TRUE,"&lt;-- Veuillez choisir l'allocation parmis la liste déroulante.",""))</f>
        <v/>
      </c>
    </row>
    <row r="582" spans="1:36" x14ac:dyDescent="0.25">
      <c r="A582" s="72" t="str">
        <f>IF(SalCommune[[#This Row],[Statut]]="","",IF(ISNA(VLOOKUP(SalCommune[[#This Row],[Statut]],'Grille communale'!$B$3:$B$5,1,FALSE))=TRUE,"Veuillez choisir le statut parmis la liste déroulante",""))</f>
        <v/>
      </c>
      <c r="B582" s="725" t="str">
        <f>IF(SalCommune[[#This Row],[Matricule]]="","",MAX($B$7:B581)+1)</f>
        <v/>
      </c>
      <c r="C582" s="8"/>
      <c r="D582" s="8"/>
      <c r="E582" s="20"/>
      <c r="F582" s="8"/>
      <c r="G582" s="8"/>
      <c r="H582" s="9"/>
      <c r="I582" s="9"/>
      <c r="J582" s="9"/>
      <c r="K582" s="10"/>
      <c r="L582" s="10"/>
      <c r="M582" s="9"/>
      <c r="N582" s="9"/>
      <c r="O582" s="9"/>
      <c r="P58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2" s="9"/>
      <c r="R582" s="9"/>
      <c r="S582" s="9"/>
      <c r="T582" s="37"/>
      <c r="U582" s="37"/>
      <c r="V582" s="37"/>
      <c r="W582" s="37"/>
      <c r="X582" s="37"/>
      <c r="Y582" s="37"/>
      <c r="Z58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2" s="37"/>
      <c r="AB582" s="66" t="str">
        <f>IF(COUNTA(SalCommune[[#This Row],[Nom]:[heures annuelles
selon contrat(s)]])=0,"",SalCommune[[#This Row],[Total global]]-ABS(SalCommune[[#This Row],[Dont non opposable]]))</f>
        <v/>
      </c>
      <c r="AC582" s="8"/>
      <c r="AD582" s="63"/>
      <c r="AE582" s="430"/>
      <c r="AF582" s="430"/>
      <c r="AG582" s="430"/>
      <c r="AH582" s="181"/>
      <c r="AI582" s="194">
        <f>IF(COUNTA(SalCommune[[#This Row],[N°]:[heures annuelles
selon contrat(s)]])=0,"",REVEX!$E$9)</f>
        <v>0</v>
      </c>
      <c r="AJ582" s="72" t="str">
        <f>IF(SalCommune[[#This Row],[Allocations fonctions]]="","",IF(ISNA(VLOOKUP(SalCommune[[#This Row],[Allocations fonctions]],DROPDOWN[Dropdown82],1,FALSE))=TRUE,"&lt;-- Veuillez choisir l'allocation parmis la liste déroulante.",""))</f>
        <v/>
      </c>
    </row>
    <row r="583" spans="1:36" x14ac:dyDescent="0.25">
      <c r="A583" s="72" t="str">
        <f>IF(SalCommune[[#This Row],[Statut]]="","",IF(ISNA(VLOOKUP(SalCommune[[#This Row],[Statut]],'Grille communale'!$B$3:$B$5,1,FALSE))=TRUE,"Veuillez choisir le statut parmis la liste déroulante",""))</f>
        <v/>
      </c>
      <c r="B583" s="725" t="str">
        <f>IF(SalCommune[[#This Row],[Matricule]]="","",MAX($B$7:B582)+1)</f>
        <v/>
      </c>
      <c r="C583" s="8"/>
      <c r="D583" s="8"/>
      <c r="E583" s="20"/>
      <c r="F583" s="8"/>
      <c r="G583" s="8"/>
      <c r="H583" s="9"/>
      <c r="I583" s="9"/>
      <c r="J583" s="9"/>
      <c r="K583" s="10"/>
      <c r="L583" s="10"/>
      <c r="M583" s="9"/>
      <c r="N583" s="9"/>
      <c r="O583" s="9"/>
      <c r="P58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3" s="9"/>
      <c r="R583" s="9"/>
      <c r="S583" s="9"/>
      <c r="T583" s="37"/>
      <c r="U583" s="37"/>
      <c r="V583" s="37"/>
      <c r="W583" s="37"/>
      <c r="X583" s="37"/>
      <c r="Y583" s="37"/>
      <c r="Z58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3" s="37"/>
      <c r="AB583" s="66" t="str">
        <f>IF(COUNTA(SalCommune[[#This Row],[Nom]:[heures annuelles
selon contrat(s)]])=0,"",SalCommune[[#This Row],[Total global]]-ABS(SalCommune[[#This Row],[Dont non opposable]]))</f>
        <v/>
      </c>
      <c r="AC583" s="8"/>
      <c r="AD583" s="63"/>
      <c r="AE583" s="430"/>
      <c r="AF583" s="430"/>
      <c r="AG583" s="430"/>
      <c r="AH583" s="181"/>
      <c r="AI583" s="194">
        <f>IF(COUNTA(SalCommune[[#This Row],[N°]:[heures annuelles
selon contrat(s)]])=0,"",REVEX!$E$9)</f>
        <v>0</v>
      </c>
      <c r="AJ583" s="72" t="str">
        <f>IF(SalCommune[[#This Row],[Allocations fonctions]]="","",IF(ISNA(VLOOKUP(SalCommune[[#This Row],[Allocations fonctions]],DROPDOWN[Dropdown82],1,FALSE))=TRUE,"&lt;-- Veuillez choisir l'allocation parmis la liste déroulante.",""))</f>
        <v/>
      </c>
    </row>
    <row r="584" spans="1:36" x14ac:dyDescent="0.25">
      <c r="A584" s="72" t="str">
        <f>IF(SalCommune[[#This Row],[Statut]]="","",IF(ISNA(VLOOKUP(SalCommune[[#This Row],[Statut]],'Grille communale'!$B$3:$B$5,1,FALSE))=TRUE,"Veuillez choisir le statut parmis la liste déroulante",""))</f>
        <v/>
      </c>
      <c r="B584" s="725" t="str">
        <f>IF(SalCommune[[#This Row],[Matricule]]="","",MAX($B$7:B583)+1)</f>
        <v/>
      </c>
      <c r="C584" s="8"/>
      <c r="D584" s="8"/>
      <c r="E584" s="20"/>
      <c r="F584" s="8"/>
      <c r="G584" s="8"/>
      <c r="H584" s="9"/>
      <c r="I584" s="9"/>
      <c r="J584" s="9"/>
      <c r="K584" s="10"/>
      <c r="L584" s="10"/>
      <c r="M584" s="9"/>
      <c r="N584" s="9"/>
      <c r="O584" s="9"/>
      <c r="P58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4" s="9"/>
      <c r="R584" s="9"/>
      <c r="S584" s="9"/>
      <c r="T584" s="37"/>
      <c r="U584" s="37"/>
      <c r="V584" s="37"/>
      <c r="W584" s="37"/>
      <c r="X584" s="37"/>
      <c r="Y584" s="37"/>
      <c r="Z58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4" s="37"/>
      <c r="AB584" s="66" t="str">
        <f>IF(COUNTA(SalCommune[[#This Row],[Nom]:[heures annuelles
selon contrat(s)]])=0,"",SalCommune[[#This Row],[Total global]]-ABS(SalCommune[[#This Row],[Dont non opposable]]))</f>
        <v/>
      </c>
      <c r="AC584" s="8"/>
      <c r="AD584" s="63"/>
      <c r="AE584" s="430"/>
      <c r="AF584" s="430"/>
      <c r="AG584" s="430"/>
      <c r="AH584" s="181"/>
      <c r="AI584" s="194">
        <f>IF(COUNTA(SalCommune[[#This Row],[N°]:[heures annuelles
selon contrat(s)]])=0,"",REVEX!$E$9)</f>
        <v>0</v>
      </c>
      <c r="AJ584" s="72" t="str">
        <f>IF(SalCommune[[#This Row],[Allocations fonctions]]="","",IF(ISNA(VLOOKUP(SalCommune[[#This Row],[Allocations fonctions]],DROPDOWN[Dropdown82],1,FALSE))=TRUE,"&lt;-- Veuillez choisir l'allocation parmis la liste déroulante.",""))</f>
        <v/>
      </c>
    </row>
    <row r="585" spans="1:36" x14ac:dyDescent="0.25">
      <c r="A585" s="72" t="str">
        <f>IF(SalCommune[[#This Row],[Statut]]="","",IF(ISNA(VLOOKUP(SalCommune[[#This Row],[Statut]],'Grille communale'!$B$3:$B$5,1,FALSE))=TRUE,"Veuillez choisir le statut parmis la liste déroulante",""))</f>
        <v/>
      </c>
      <c r="B585" s="725" t="str">
        <f>IF(SalCommune[[#This Row],[Matricule]]="","",MAX($B$7:B584)+1)</f>
        <v/>
      </c>
      <c r="C585" s="8"/>
      <c r="D585" s="8"/>
      <c r="E585" s="20"/>
      <c r="F585" s="8"/>
      <c r="G585" s="8"/>
      <c r="H585" s="9"/>
      <c r="I585" s="9"/>
      <c r="J585" s="9"/>
      <c r="K585" s="10"/>
      <c r="L585" s="10"/>
      <c r="M585" s="9"/>
      <c r="N585" s="9"/>
      <c r="O585" s="9"/>
      <c r="P58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5" s="9"/>
      <c r="R585" s="9"/>
      <c r="S585" s="9"/>
      <c r="T585" s="37"/>
      <c r="U585" s="37"/>
      <c r="V585" s="37"/>
      <c r="W585" s="37"/>
      <c r="X585" s="37"/>
      <c r="Y585" s="37"/>
      <c r="Z58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5" s="37"/>
      <c r="AB585" s="66" t="str">
        <f>IF(COUNTA(SalCommune[[#This Row],[Nom]:[heures annuelles
selon contrat(s)]])=0,"",SalCommune[[#This Row],[Total global]]-ABS(SalCommune[[#This Row],[Dont non opposable]]))</f>
        <v/>
      </c>
      <c r="AC585" s="8"/>
      <c r="AD585" s="63"/>
      <c r="AE585" s="430"/>
      <c r="AF585" s="430"/>
      <c r="AG585" s="430"/>
      <c r="AH585" s="181"/>
      <c r="AI585" s="194">
        <f>IF(COUNTA(SalCommune[[#This Row],[N°]:[heures annuelles
selon contrat(s)]])=0,"",REVEX!$E$9)</f>
        <v>0</v>
      </c>
      <c r="AJ585" s="72" t="str">
        <f>IF(SalCommune[[#This Row],[Allocations fonctions]]="","",IF(ISNA(VLOOKUP(SalCommune[[#This Row],[Allocations fonctions]],DROPDOWN[Dropdown82],1,FALSE))=TRUE,"&lt;-- Veuillez choisir l'allocation parmis la liste déroulante.",""))</f>
        <v/>
      </c>
    </row>
    <row r="586" spans="1:36" x14ac:dyDescent="0.25">
      <c r="A586" s="72" t="str">
        <f>IF(SalCommune[[#This Row],[Statut]]="","",IF(ISNA(VLOOKUP(SalCommune[[#This Row],[Statut]],'Grille communale'!$B$3:$B$5,1,FALSE))=TRUE,"Veuillez choisir le statut parmis la liste déroulante",""))</f>
        <v/>
      </c>
      <c r="B586" s="725" t="str">
        <f>IF(SalCommune[[#This Row],[Matricule]]="","",MAX($B$7:B585)+1)</f>
        <v/>
      </c>
      <c r="C586" s="8"/>
      <c r="D586" s="8"/>
      <c r="E586" s="20"/>
      <c r="F586" s="8"/>
      <c r="G586" s="8"/>
      <c r="H586" s="9"/>
      <c r="I586" s="9"/>
      <c r="J586" s="9"/>
      <c r="K586" s="10"/>
      <c r="L586" s="10"/>
      <c r="M586" s="9"/>
      <c r="N586" s="9"/>
      <c r="O586" s="9"/>
      <c r="P58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6" s="9"/>
      <c r="R586" s="9"/>
      <c r="S586" s="9"/>
      <c r="T586" s="37"/>
      <c r="U586" s="37"/>
      <c r="V586" s="37"/>
      <c r="W586" s="37"/>
      <c r="X586" s="37"/>
      <c r="Y586" s="37"/>
      <c r="Z58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6" s="37"/>
      <c r="AB586" s="66" t="str">
        <f>IF(COUNTA(SalCommune[[#This Row],[Nom]:[heures annuelles
selon contrat(s)]])=0,"",SalCommune[[#This Row],[Total global]]-ABS(SalCommune[[#This Row],[Dont non opposable]]))</f>
        <v/>
      </c>
      <c r="AC586" s="8"/>
      <c r="AD586" s="63"/>
      <c r="AE586" s="430"/>
      <c r="AF586" s="430"/>
      <c r="AG586" s="430"/>
      <c r="AH586" s="181"/>
      <c r="AI586" s="194">
        <f>IF(COUNTA(SalCommune[[#This Row],[N°]:[heures annuelles
selon contrat(s)]])=0,"",REVEX!$E$9)</f>
        <v>0</v>
      </c>
      <c r="AJ586" s="72" t="str">
        <f>IF(SalCommune[[#This Row],[Allocations fonctions]]="","",IF(ISNA(VLOOKUP(SalCommune[[#This Row],[Allocations fonctions]],DROPDOWN[Dropdown82],1,FALSE))=TRUE,"&lt;-- Veuillez choisir l'allocation parmis la liste déroulante.",""))</f>
        <v/>
      </c>
    </row>
    <row r="587" spans="1:36" x14ac:dyDescent="0.25">
      <c r="A587" s="72" t="str">
        <f>IF(SalCommune[[#This Row],[Statut]]="","",IF(ISNA(VLOOKUP(SalCommune[[#This Row],[Statut]],'Grille communale'!$B$3:$B$5,1,FALSE))=TRUE,"Veuillez choisir le statut parmis la liste déroulante",""))</f>
        <v/>
      </c>
      <c r="B587" s="725" t="str">
        <f>IF(SalCommune[[#This Row],[Matricule]]="","",MAX($B$7:B586)+1)</f>
        <v/>
      </c>
      <c r="C587" s="8"/>
      <c r="D587" s="8"/>
      <c r="E587" s="20"/>
      <c r="F587" s="8"/>
      <c r="G587" s="8"/>
      <c r="H587" s="9"/>
      <c r="I587" s="9"/>
      <c r="J587" s="9"/>
      <c r="K587" s="10"/>
      <c r="L587" s="10"/>
      <c r="M587" s="9"/>
      <c r="N587" s="9"/>
      <c r="O587" s="9"/>
      <c r="P58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7" s="9"/>
      <c r="R587" s="9"/>
      <c r="S587" s="9"/>
      <c r="T587" s="37"/>
      <c r="U587" s="37"/>
      <c r="V587" s="37"/>
      <c r="W587" s="37"/>
      <c r="X587" s="37"/>
      <c r="Y587" s="37"/>
      <c r="Z58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7" s="37"/>
      <c r="AB587" s="66" t="str">
        <f>IF(COUNTA(SalCommune[[#This Row],[Nom]:[heures annuelles
selon contrat(s)]])=0,"",SalCommune[[#This Row],[Total global]]-ABS(SalCommune[[#This Row],[Dont non opposable]]))</f>
        <v/>
      </c>
      <c r="AC587" s="8"/>
      <c r="AD587" s="63"/>
      <c r="AE587" s="430"/>
      <c r="AF587" s="430"/>
      <c r="AG587" s="430"/>
      <c r="AH587" s="181"/>
      <c r="AI587" s="194">
        <f>IF(COUNTA(SalCommune[[#This Row],[N°]:[heures annuelles
selon contrat(s)]])=0,"",REVEX!$E$9)</f>
        <v>0</v>
      </c>
      <c r="AJ587" s="72" t="str">
        <f>IF(SalCommune[[#This Row],[Allocations fonctions]]="","",IF(ISNA(VLOOKUP(SalCommune[[#This Row],[Allocations fonctions]],DROPDOWN[Dropdown82],1,FALSE))=TRUE,"&lt;-- Veuillez choisir l'allocation parmis la liste déroulante.",""))</f>
        <v/>
      </c>
    </row>
    <row r="588" spans="1:36" x14ac:dyDescent="0.25">
      <c r="A588" s="72" t="str">
        <f>IF(SalCommune[[#This Row],[Statut]]="","",IF(ISNA(VLOOKUP(SalCommune[[#This Row],[Statut]],'Grille communale'!$B$3:$B$5,1,FALSE))=TRUE,"Veuillez choisir le statut parmis la liste déroulante",""))</f>
        <v/>
      </c>
      <c r="B588" s="725" t="str">
        <f>IF(SalCommune[[#This Row],[Matricule]]="","",MAX($B$7:B587)+1)</f>
        <v/>
      </c>
      <c r="C588" s="8"/>
      <c r="D588" s="8"/>
      <c r="E588" s="20"/>
      <c r="F588" s="8"/>
      <c r="G588" s="8"/>
      <c r="H588" s="9"/>
      <c r="I588" s="9"/>
      <c r="J588" s="9"/>
      <c r="K588" s="10"/>
      <c r="L588" s="10"/>
      <c r="M588" s="9"/>
      <c r="N588" s="9"/>
      <c r="O588" s="9"/>
      <c r="P58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8" s="9"/>
      <c r="R588" s="9"/>
      <c r="S588" s="9"/>
      <c r="T588" s="37"/>
      <c r="U588" s="37"/>
      <c r="V588" s="37"/>
      <c r="W588" s="37"/>
      <c r="X588" s="37"/>
      <c r="Y588" s="37"/>
      <c r="Z58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8" s="37"/>
      <c r="AB588" s="66" t="str">
        <f>IF(COUNTA(SalCommune[[#This Row],[Nom]:[heures annuelles
selon contrat(s)]])=0,"",SalCommune[[#This Row],[Total global]]-ABS(SalCommune[[#This Row],[Dont non opposable]]))</f>
        <v/>
      </c>
      <c r="AC588" s="8"/>
      <c r="AD588" s="63"/>
      <c r="AE588" s="430"/>
      <c r="AF588" s="430"/>
      <c r="AG588" s="430"/>
      <c r="AH588" s="181"/>
      <c r="AI588" s="194">
        <f>IF(COUNTA(SalCommune[[#This Row],[N°]:[heures annuelles
selon contrat(s)]])=0,"",REVEX!$E$9)</f>
        <v>0</v>
      </c>
      <c r="AJ588" s="72" t="str">
        <f>IF(SalCommune[[#This Row],[Allocations fonctions]]="","",IF(ISNA(VLOOKUP(SalCommune[[#This Row],[Allocations fonctions]],DROPDOWN[Dropdown82],1,FALSE))=TRUE,"&lt;-- Veuillez choisir l'allocation parmis la liste déroulante.",""))</f>
        <v/>
      </c>
    </row>
    <row r="589" spans="1:36" x14ac:dyDescent="0.25">
      <c r="A589" s="72" t="str">
        <f>IF(SalCommune[[#This Row],[Statut]]="","",IF(ISNA(VLOOKUP(SalCommune[[#This Row],[Statut]],'Grille communale'!$B$3:$B$5,1,FALSE))=TRUE,"Veuillez choisir le statut parmis la liste déroulante",""))</f>
        <v/>
      </c>
      <c r="B589" s="725" t="str">
        <f>IF(SalCommune[[#This Row],[Matricule]]="","",MAX($B$7:B588)+1)</f>
        <v/>
      </c>
      <c r="C589" s="8"/>
      <c r="D589" s="8"/>
      <c r="E589" s="20"/>
      <c r="F589" s="8"/>
      <c r="G589" s="8"/>
      <c r="H589" s="9"/>
      <c r="I589" s="9"/>
      <c r="J589" s="9"/>
      <c r="K589" s="10"/>
      <c r="L589" s="10"/>
      <c r="M589" s="9"/>
      <c r="N589" s="9"/>
      <c r="O589" s="9"/>
      <c r="P58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89" s="9"/>
      <c r="R589" s="9"/>
      <c r="S589" s="9"/>
      <c r="T589" s="37"/>
      <c r="U589" s="37"/>
      <c r="V589" s="37"/>
      <c r="W589" s="37"/>
      <c r="X589" s="37"/>
      <c r="Y589" s="37"/>
      <c r="Z58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89" s="37"/>
      <c r="AB589" s="66" t="str">
        <f>IF(COUNTA(SalCommune[[#This Row],[Nom]:[heures annuelles
selon contrat(s)]])=0,"",SalCommune[[#This Row],[Total global]]-ABS(SalCommune[[#This Row],[Dont non opposable]]))</f>
        <v/>
      </c>
      <c r="AC589" s="8"/>
      <c r="AD589" s="63"/>
      <c r="AE589" s="430"/>
      <c r="AF589" s="430"/>
      <c r="AG589" s="430"/>
      <c r="AH589" s="181"/>
      <c r="AI589" s="194">
        <f>IF(COUNTA(SalCommune[[#This Row],[N°]:[heures annuelles
selon contrat(s)]])=0,"",REVEX!$E$9)</f>
        <v>0</v>
      </c>
      <c r="AJ589" s="72" t="str">
        <f>IF(SalCommune[[#This Row],[Allocations fonctions]]="","",IF(ISNA(VLOOKUP(SalCommune[[#This Row],[Allocations fonctions]],DROPDOWN[Dropdown82],1,FALSE))=TRUE,"&lt;-- Veuillez choisir l'allocation parmis la liste déroulante.",""))</f>
        <v/>
      </c>
    </row>
    <row r="590" spans="1:36" x14ac:dyDescent="0.25">
      <c r="A590" s="72" t="str">
        <f>IF(SalCommune[[#This Row],[Statut]]="","",IF(ISNA(VLOOKUP(SalCommune[[#This Row],[Statut]],'Grille communale'!$B$3:$B$5,1,FALSE))=TRUE,"Veuillez choisir le statut parmis la liste déroulante",""))</f>
        <v/>
      </c>
      <c r="B590" s="725" t="str">
        <f>IF(SalCommune[[#This Row],[Matricule]]="","",MAX($B$7:B589)+1)</f>
        <v/>
      </c>
      <c r="C590" s="8"/>
      <c r="D590" s="8"/>
      <c r="E590" s="20"/>
      <c r="F590" s="8"/>
      <c r="G590" s="8"/>
      <c r="H590" s="9"/>
      <c r="I590" s="9"/>
      <c r="J590" s="9"/>
      <c r="K590" s="10"/>
      <c r="L590" s="10"/>
      <c r="M590" s="9"/>
      <c r="N590" s="9"/>
      <c r="O590" s="9"/>
      <c r="P59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0" s="9"/>
      <c r="R590" s="9"/>
      <c r="S590" s="9"/>
      <c r="T590" s="37"/>
      <c r="U590" s="37"/>
      <c r="V590" s="37"/>
      <c r="W590" s="37"/>
      <c r="X590" s="37"/>
      <c r="Y590" s="37"/>
      <c r="Z59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0" s="37"/>
      <c r="AB590" s="66" t="str">
        <f>IF(COUNTA(SalCommune[[#This Row],[Nom]:[heures annuelles
selon contrat(s)]])=0,"",SalCommune[[#This Row],[Total global]]-ABS(SalCommune[[#This Row],[Dont non opposable]]))</f>
        <v/>
      </c>
      <c r="AC590" s="8"/>
      <c r="AD590" s="63"/>
      <c r="AE590" s="430"/>
      <c r="AF590" s="430"/>
      <c r="AG590" s="430"/>
      <c r="AH590" s="181"/>
      <c r="AI590" s="194">
        <f>IF(COUNTA(SalCommune[[#This Row],[N°]:[heures annuelles
selon contrat(s)]])=0,"",REVEX!$E$9)</f>
        <v>0</v>
      </c>
      <c r="AJ590" s="72" t="str">
        <f>IF(SalCommune[[#This Row],[Allocations fonctions]]="","",IF(ISNA(VLOOKUP(SalCommune[[#This Row],[Allocations fonctions]],DROPDOWN[Dropdown82],1,FALSE))=TRUE,"&lt;-- Veuillez choisir l'allocation parmis la liste déroulante.",""))</f>
        <v/>
      </c>
    </row>
    <row r="591" spans="1:36" x14ac:dyDescent="0.25">
      <c r="A591" s="72" t="str">
        <f>IF(SalCommune[[#This Row],[Statut]]="","",IF(ISNA(VLOOKUP(SalCommune[[#This Row],[Statut]],'Grille communale'!$B$3:$B$5,1,FALSE))=TRUE,"Veuillez choisir le statut parmis la liste déroulante",""))</f>
        <v/>
      </c>
      <c r="B591" s="725" t="str">
        <f>IF(SalCommune[[#This Row],[Matricule]]="","",MAX($B$7:B590)+1)</f>
        <v/>
      </c>
      <c r="C591" s="8"/>
      <c r="D591" s="8"/>
      <c r="E591" s="20"/>
      <c r="F591" s="8"/>
      <c r="G591" s="8"/>
      <c r="H591" s="9"/>
      <c r="I591" s="9"/>
      <c r="J591" s="9"/>
      <c r="K591" s="10"/>
      <c r="L591" s="10"/>
      <c r="M591" s="9"/>
      <c r="N591" s="9"/>
      <c r="O591" s="9"/>
      <c r="P59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1" s="9"/>
      <c r="R591" s="9"/>
      <c r="S591" s="9"/>
      <c r="T591" s="37"/>
      <c r="U591" s="37"/>
      <c r="V591" s="37"/>
      <c r="W591" s="37"/>
      <c r="X591" s="37"/>
      <c r="Y591" s="37"/>
      <c r="Z59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1" s="37"/>
      <c r="AB591" s="66" t="str">
        <f>IF(COUNTA(SalCommune[[#This Row],[Nom]:[heures annuelles
selon contrat(s)]])=0,"",SalCommune[[#This Row],[Total global]]-ABS(SalCommune[[#This Row],[Dont non opposable]]))</f>
        <v/>
      </c>
      <c r="AC591" s="8"/>
      <c r="AD591" s="63"/>
      <c r="AE591" s="430"/>
      <c r="AF591" s="430"/>
      <c r="AG591" s="430"/>
      <c r="AH591" s="181"/>
      <c r="AI591" s="194">
        <f>IF(COUNTA(SalCommune[[#This Row],[N°]:[heures annuelles
selon contrat(s)]])=0,"",REVEX!$E$9)</f>
        <v>0</v>
      </c>
      <c r="AJ591" s="72" t="str">
        <f>IF(SalCommune[[#This Row],[Allocations fonctions]]="","",IF(ISNA(VLOOKUP(SalCommune[[#This Row],[Allocations fonctions]],DROPDOWN[Dropdown82],1,FALSE))=TRUE,"&lt;-- Veuillez choisir l'allocation parmis la liste déroulante.",""))</f>
        <v/>
      </c>
    </row>
    <row r="592" spans="1:36" x14ac:dyDescent="0.25">
      <c r="A592" s="72" t="str">
        <f>IF(SalCommune[[#This Row],[Statut]]="","",IF(ISNA(VLOOKUP(SalCommune[[#This Row],[Statut]],'Grille communale'!$B$3:$B$5,1,FALSE))=TRUE,"Veuillez choisir le statut parmis la liste déroulante",""))</f>
        <v/>
      </c>
      <c r="B592" s="725" t="str">
        <f>IF(SalCommune[[#This Row],[Matricule]]="","",MAX($B$7:B591)+1)</f>
        <v/>
      </c>
      <c r="C592" s="8"/>
      <c r="D592" s="8"/>
      <c r="E592" s="20"/>
      <c r="F592" s="8"/>
      <c r="G592" s="8"/>
      <c r="H592" s="9"/>
      <c r="I592" s="9"/>
      <c r="J592" s="9"/>
      <c r="K592" s="10"/>
      <c r="L592" s="10"/>
      <c r="M592" s="9"/>
      <c r="N592" s="9"/>
      <c r="O592" s="9"/>
      <c r="P59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2" s="9"/>
      <c r="R592" s="9"/>
      <c r="S592" s="9"/>
      <c r="T592" s="37"/>
      <c r="U592" s="37"/>
      <c r="V592" s="37"/>
      <c r="W592" s="37"/>
      <c r="X592" s="37"/>
      <c r="Y592" s="37"/>
      <c r="Z59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2" s="37"/>
      <c r="AB592" s="66" t="str">
        <f>IF(COUNTA(SalCommune[[#This Row],[Nom]:[heures annuelles
selon contrat(s)]])=0,"",SalCommune[[#This Row],[Total global]]-ABS(SalCommune[[#This Row],[Dont non opposable]]))</f>
        <v/>
      </c>
      <c r="AC592" s="8"/>
      <c r="AD592" s="63"/>
      <c r="AE592" s="430"/>
      <c r="AF592" s="430"/>
      <c r="AG592" s="430"/>
      <c r="AH592" s="181"/>
      <c r="AI592" s="194">
        <f>IF(COUNTA(SalCommune[[#This Row],[N°]:[heures annuelles
selon contrat(s)]])=0,"",REVEX!$E$9)</f>
        <v>0</v>
      </c>
      <c r="AJ592" s="72" t="str">
        <f>IF(SalCommune[[#This Row],[Allocations fonctions]]="","",IF(ISNA(VLOOKUP(SalCommune[[#This Row],[Allocations fonctions]],DROPDOWN[Dropdown82],1,FALSE))=TRUE,"&lt;-- Veuillez choisir l'allocation parmis la liste déroulante.",""))</f>
        <v/>
      </c>
    </row>
    <row r="593" spans="1:36" x14ac:dyDescent="0.25">
      <c r="A593" s="72" t="str">
        <f>IF(SalCommune[[#This Row],[Statut]]="","",IF(ISNA(VLOOKUP(SalCommune[[#This Row],[Statut]],'Grille communale'!$B$3:$B$5,1,FALSE))=TRUE,"Veuillez choisir le statut parmis la liste déroulante",""))</f>
        <v/>
      </c>
      <c r="B593" s="725" t="str">
        <f>IF(SalCommune[[#This Row],[Matricule]]="","",MAX($B$7:B592)+1)</f>
        <v/>
      </c>
      <c r="C593" s="8"/>
      <c r="D593" s="8"/>
      <c r="E593" s="20"/>
      <c r="F593" s="8"/>
      <c r="G593" s="8"/>
      <c r="H593" s="9"/>
      <c r="I593" s="9"/>
      <c r="J593" s="9"/>
      <c r="K593" s="10"/>
      <c r="L593" s="10"/>
      <c r="M593" s="9"/>
      <c r="N593" s="9"/>
      <c r="O593" s="9"/>
      <c r="P59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3" s="9"/>
      <c r="R593" s="9"/>
      <c r="S593" s="9"/>
      <c r="T593" s="37"/>
      <c r="U593" s="37"/>
      <c r="V593" s="37"/>
      <c r="W593" s="37"/>
      <c r="X593" s="37"/>
      <c r="Y593" s="37"/>
      <c r="Z59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3" s="37"/>
      <c r="AB593" s="66" t="str">
        <f>IF(COUNTA(SalCommune[[#This Row],[Nom]:[heures annuelles
selon contrat(s)]])=0,"",SalCommune[[#This Row],[Total global]]-ABS(SalCommune[[#This Row],[Dont non opposable]]))</f>
        <v/>
      </c>
      <c r="AC593" s="8"/>
      <c r="AD593" s="63"/>
      <c r="AE593" s="430"/>
      <c r="AF593" s="430"/>
      <c r="AG593" s="430"/>
      <c r="AH593" s="181"/>
      <c r="AI593" s="194">
        <f>IF(COUNTA(SalCommune[[#This Row],[N°]:[heures annuelles
selon contrat(s)]])=0,"",REVEX!$E$9)</f>
        <v>0</v>
      </c>
      <c r="AJ593" s="72" t="str">
        <f>IF(SalCommune[[#This Row],[Allocations fonctions]]="","",IF(ISNA(VLOOKUP(SalCommune[[#This Row],[Allocations fonctions]],DROPDOWN[Dropdown82],1,FALSE))=TRUE,"&lt;-- Veuillez choisir l'allocation parmis la liste déroulante.",""))</f>
        <v/>
      </c>
    </row>
    <row r="594" spans="1:36" x14ac:dyDescent="0.25">
      <c r="A594" s="72" t="str">
        <f>IF(SalCommune[[#This Row],[Statut]]="","",IF(ISNA(VLOOKUP(SalCommune[[#This Row],[Statut]],'Grille communale'!$B$3:$B$5,1,FALSE))=TRUE,"Veuillez choisir le statut parmis la liste déroulante",""))</f>
        <v/>
      </c>
      <c r="B594" s="725" t="str">
        <f>IF(SalCommune[[#This Row],[Matricule]]="","",MAX($B$7:B593)+1)</f>
        <v/>
      </c>
      <c r="C594" s="8"/>
      <c r="D594" s="8"/>
      <c r="E594" s="20"/>
      <c r="F594" s="8"/>
      <c r="G594" s="8"/>
      <c r="H594" s="9"/>
      <c r="I594" s="9"/>
      <c r="J594" s="9"/>
      <c r="K594" s="10"/>
      <c r="L594" s="10"/>
      <c r="M594" s="9"/>
      <c r="N594" s="9"/>
      <c r="O594" s="9"/>
      <c r="P59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4" s="9"/>
      <c r="R594" s="9"/>
      <c r="S594" s="9"/>
      <c r="T594" s="37"/>
      <c r="U594" s="37"/>
      <c r="V594" s="37"/>
      <c r="W594" s="37"/>
      <c r="X594" s="37"/>
      <c r="Y594" s="37"/>
      <c r="Z59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4" s="37"/>
      <c r="AB594" s="66" t="str">
        <f>IF(COUNTA(SalCommune[[#This Row],[Nom]:[heures annuelles
selon contrat(s)]])=0,"",SalCommune[[#This Row],[Total global]]-ABS(SalCommune[[#This Row],[Dont non opposable]]))</f>
        <v/>
      </c>
      <c r="AC594" s="8"/>
      <c r="AD594" s="63"/>
      <c r="AE594" s="430"/>
      <c r="AF594" s="430"/>
      <c r="AG594" s="430"/>
      <c r="AH594" s="181"/>
      <c r="AI594" s="194">
        <f>IF(COUNTA(SalCommune[[#This Row],[N°]:[heures annuelles
selon contrat(s)]])=0,"",REVEX!$E$9)</f>
        <v>0</v>
      </c>
      <c r="AJ594" s="72" t="str">
        <f>IF(SalCommune[[#This Row],[Allocations fonctions]]="","",IF(ISNA(VLOOKUP(SalCommune[[#This Row],[Allocations fonctions]],DROPDOWN[Dropdown82],1,FALSE))=TRUE,"&lt;-- Veuillez choisir l'allocation parmis la liste déroulante.",""))</f>
        <v/>
      </c>
    </row>
    <row r="595" spans="1:36" x14ac:dyDescent="0.25">
      <c r="A595" s="72" t="str">
        <f>IF(SalCommune[[#This Row],[Statut]]="","",IF(ISNA(VLOOKUP(SalCommune[[#This Row],[Statut]],'Grille communale'!$B$3:$B$5,1,FALSE))=TRUE,"Veuillez choisir le statut parmis la liste déroulante",""))</f>
        <v/>
      </c>
      <c r="B595" s="725" t="str">
        <f>IF(SalCommune[[#This Row],[Matricule]]="","",MAX($B$7:B594)+1)</f>
        <v/>
      </c>
      <c r="C595" s="8"/>
      <c r="D595" s="8"/>
      <c r="E595" s="20"/>
      <c r="F595" s="8"/>
      <c r="G595" s="8"/>
      <c r="H595" s="9"/>
      <c r="I595" s="9"/>
      <c r="J595" s="9"/>
      <c r="K595" s="10"/>
      <c r="L595" s="10"/>
      <c r="M595" s="9"/>
      <c r="N595" s="9"/>
      <c r="O595" s="9"/>
      <c r="P59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5" s="9"/>
      <c r="R595" s="9"/>
      <c r="S595" s="9"/>
      <c r="T595" s="37"/>
      <c r="U595" s="37"/>
      <c r="V595" s="37"/>
      <c r="W595" s="37"/>
      <c r="X595" s="37"/>
      <c r="Y595" s="37"/>
      <c r="Z59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5" s="37"/>
      <c r="AB595" s="66" t="str">
        <f>IF(COUNTA(SalCommune[[#This Row],[Nom]:[heures annuelles
selon contrat(s)]])=0,"",SalCommune[[#This Row],[Total global]]-ABS(SalCommune[[#This Row],[Dont non opposable]]))</f>
        <v/>
      </c>
      <c r="AC595" s="8"/>
      <c r="AD595" s="63"/>
      <c r="AE595" s="430"/>
      <c r="AF595" s="430"/>
      <c r="AG595" s="430"/>
      <c r="AH595" s="181"/>
      <c r="AI595" s="194">
        <f>IF(COUNTA(SalCommune[[#This Row],[N°]:[heures annuelles
selon contrat(s)]])=0,"",REVEX!$E$9)</f>
        <v>0</v>
      </c>
      <c r="AJ595" s="72" t="str">
        <f>IF(SalCommune[[#This Row],[Allocations fonctions]]="","",IF(ISNA(VLOOKUP(SalCommune[[#This Row],[Allocations fonctions]],DROPDOWN[Dropdown82],1,FALSE))=TRUE,"&lt;-- Veuillez choisir l'allocation parmis la liste déroulante.",""))</f>
        <v/>
      </c>
    </row>
    <row r="596" spans="1:36" x14ac:dyDescent="0.25">
      <c r="A596" s="72" t="str">
        <f>IF(SalCommune[[#This Row],[Statut]]="","",IF(ISNA(VLOOKUP(SalCommune[[#This Row],[Statut]],'Grille communale'!$B$3:$B$5,1,FALSE))=TRUE,"Veuillez choisir le statut parmis la liste déroulante",""))</f>
        <v/>
      </c>
      <c r="B596" s="725" t="str">
        <f>IF(SalCommune[[#This Row],[Matricule]]="","",MAX($B$7:B595)+1)</f>
        <v/>
      </c>
      <c r="C596" s="8"/>
      <c r="D596" s="8"/>
      <c r="E596" s="20"/>
      <c r="F596" s="8"/>
      <c r="G596" s="8"/>
      <c r="H596" s="9"/>
      <c r="I596" s="9"/>
      <c r="J596" s="9"/>
      <c r="K596" s="10"/>
      <c r="L596" s="10"/>
      <c r="M596" s="9"/>
      <c r="N596" s="9"/>
      <c r="O596" s="9"/>
      <c r="P59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6" s="9"/>
      <c r="R596" s="9"/>
      <c r="S596" s="9"/>
      <c r="T596" s="37"/>
      <c r="U596" s="37"/>
      <c r="V596" s="37"/>
      <c r="W596" s="37"/>
      <c r="X596" s="37"/>
      <c r="Y596" s="37"/>
      <c r="Z59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6" s="37"/>
      <c r="AB596" s="66" t="str">
        <f>IF(COUNTA(SalCommune[[#This Row],[Nom]:[heures annuelles
selon contrat(s)]])=0,"",SalCommune[[#This Row],[Total global]]-ABS(SalCommune[[#This Row],[Dont non opposable]]))</f>
        <v/>
      </c>
      <c r="AC596" s="8"/>
      <c r="AD596" s="63"/>
      <c r="AE596" s="430"/>
      <c r="AF596" s="430"/>
      <c r="AG596" s="430"/>
      <c r="AH596" s="181"/>
      <c r="AI596" s="194">
        <f>IF(COUNTA(SalCommune[[#This Row],[N°]:[heures annuelles
selon contrat(s)]])=0,"",REVEX!$E$9)</f>
        <v>0</v>
      </c>
      <c r="AJ596" s="72" t="str">
        <f>IF(SalCommune[[#This Row],[Allocations fonctions]]="","",IF(ISNA(VLOOKUP(SalCommune[[#This Row],[Allocations fonctions]],DROPDOWN[Dropdown82],1,FALSE))=TRUE,"&lt;-- Veuillez choisir l'allocation parmis la liste déroulante.",""))</f>
        <v/>
      </c>
    </row>
    <row r="597" spans="1:36" x14ac:dyDescent="0.25">
      <c r="A597" s="72" t="str">
        <f>IF(SalCommune[[#This Row],[Statut]]="","",IF(ISNA(VLOOKUP(SalCommune[[#This Row],[Statut]],'Grille communale'!$B$3:$B$5,1,FALSE))=TRUE,"Veuillez choisir le statut parmis la liste déroulante",""))</f>
        <v/>
      </c>
      <c r="B597" s="725" t="str">
        <f>IF(SalCommune[[#This Row],[Matricule]]="","",MAX($B$7:B596)+1)</f>
        <v/>
      </c>
      <c r="C597" s="8"/>
      <c r="D597" s="8"/>
      <c r="E597" s="20"/>
      <c r="F597" s="8"/>
      <c r="G597" s="8"/>
      <c r="H597" s="9"/>
      <c r="I597" s="9"/>
      <c r="J597" s="9"/>
      <c r="K597" s="10"/>
      <c r="L597" s="10"/>
      <c r="M597" s="9"/>
      <c r="N597" s="9"/>
      <c r="O597" s="9"/>
      <c r="P59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7" s="9"/>
      <c r="R597" s="9"/>
      <c r="S597" s="9"/>
      <c r="T597" s="37"/>
      <c r="U597" s="37"/>
      <c r="V597" s="37"/>
      <c r="W597" s="37"/>
      <c r="X597" s="37"/>
      <c r="Y597" s="37"/>
      <c r="Z59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7" s="37"/>
      <c r="AB597" s="66" t="str">
        <f>IF(COUNTA(SalCommune[[#This Row],[Nom]:[heures annuelles
selon contrat(s)]])=0,"",SalCommune[[#This Row],[Total global]]-ABS(SalCommune[[#This Row],[Dont non opposable]]))</f>
        <v/>
      </c>
      <c r="AC597" s="8"/>
      <c r="AD597" s="63"/>
      <c r="AE597" s="430"/>
      <c r="AF597" s="430"/>
      <c r="AG597" s="430"/>
      <c r="AH597" s="181"/>
      <c r="AI597" s="194">
        <f>IF(COUNTA(SalCommune[[#This Row],[N°]:[heures annuelles
selon contrat(s)]])=0,"",REVEX!$E$9)</f>
        <v>0</v>
      </c>
      <c r="AJ597" s="72" t="str">
        <f>IF(SalCommune[[#This Row],[Allocations fonctions]]="","",IF(ISNA(VLOOKUP(SalCommune[[#This Row],[Allocations fonctions]],DROPDOWN[Dropdown82],1,FALSE))=TRUE,"&lt;-- Veuillez choisir l'allocation parmis la liste déroulante.",""))</f>
        <v/>
      </c>
    </row>
    <row r="598" spans="1:36" x14ac:dyDescent="0.25">
      <c r="A598" s="72" t="str">
        <f>IF(SalCommune[[#This Row],[Statut]]="","",IF(ISNA(VLOOKUP(SalCommune[[#This Row],[Statut]],'Grille communale'!$B$3:$B$5,1,FALSE))=TRUE,"Veuillez choisir le statut parmis la liste déroulante",""))</f>
        <v/>
      </c>
      <c r="B598" s="725" t="str">
        <f>IF(SalCommune[[#This Row],[Matricule]]="","",MAX($B$7:B597)+1)</f>
        <v/>
      </c>
      <c r="C598" s="8"/>
      <c r="D598" s="8"/>
      <c r="E598" s="20"/>
      <c r="F598" s="8"/>
      <c r="G598" s="8"/>
      <c r="H598" s="9"/>
      <c r="I598" s="9"/>
      <c r="J598" s="9"/>
      <c r="K598" s="10"/>
      <c r="L598" s="10"/>
      <c r="M598" s="9"/>
      <c r="N598" s="9"/>
      <c r="O598" s="9"/>
      <c r="P59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8" s="9"/>
      <c r="R598" s="9"/>
      <c r="S598" s="9"/>
      <c r="T598" s="37"/>
      <c r="U598" s="37"/>
      <c r="V598" s="37"/>
      <c r="W598" s="37"/>
      <c r="X598" s="37"/>
      <c r="Y598" s="37"/>
      <c r="Z59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8" s="37"/>
      <c r="AB598" s="66" t="str">
        <f>IF(COUNTA(SalCommune[[#This Row],[Nom]:[heures annuelles
selon contrat(s)]])=0,"",SalCommune[[#This Row],[Total global]]-ABS(SalCommune[[#This Row],[Dont non opposable]]))</f>
        <v/>
      </c>
      <c r="AC598" s="8"/>
      <c r="AD598" s="63"/>
      <c r="AE598" s="430"/>
      <c r="AF598" s="430"/>
      <c r="AG598" s="430"/>
      <c r="AH598" s="181"/>
      <c r="AI598" s="194">
        <f>IF(COUNTA(SalCommune[[#This Row],[N°]:[heures annuelles
selon contrat(s)]])=0,"",REVEX!$E$9)</f>
        <v>0</v>
      </c>
      <c r="AJ598" s="72" t="str">
        <f>IF(SalCommune[[#This Row],[Allocations fonctions]]="","",IF(ISNA(VLOOKUP(SalCommune[[#This Row],[Allocations fonctions]],DROPDOWN[Dropdown82],1,FALSE))=TRUE,"&lt;-- Veuillez choisir l'allocation parmis la liste déroulante.",""))</f>
        <v/>
      </c>
    </row>
    <row r="599" spans="1:36" x14ac:dyDescent="0.25">
      <c r="A599" s="72" t="str">
        <f>IF(SalCommune[[#This Row],[Statut]]="","",IF(ISNA(VLOOKUP(SalCommune[[#This Row],[Statut]],'Grille communale'!$B$3:$B$5,1,FALSE))=TRUE,"Veuillez choisir le statut parmis la liste déroulante",""))</f>
        <v/>
      </c>
      <c r="B599" s="725" t="str">
        <f>IF(SalCommune[[#This Row],[Matricule]]="","",MAX($B$7:B598)+1)</f>
        <v/>
      </c>
      <c r="C599" s="8"/>
      <c r="D599" s="8"/>
      <c r="E599" s="20"/>
      <c r="F599" s="8"/>
      <c r="G599" s="8"/>
      <c r="H599" s="9"/>
      <c r="I599" s="9"/>
      <c r="J599" s="9"/>
      <c r="K599" s="10"/>
      <c r="L599" s="10"/>
      <c r="M599" s="9"/>
      <c r="N599" s="9"/>
      <c r="O599" s="9"/>
      <c r="P59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599" s="9"/>
      <c r="R599" s="9"/>
      <c r="S599" s="9"/>
      <c r="T599" s="37"/>
      <c r="U599" s="37"/>
      <c r="V599" s="37"/>
      <c r="W599" s="37"/>
      <c r="X599" s="37"/>
      <c r="Y599" s="37"/>
      <c r="Z59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599" s="37"/>
      <c r="AB599" s="66" t="str">
        <f>IF(COUNTA(SalCommune[[#This Row],[Nom]:[heures annuelles
selon contrat(s)]])=0,"",SalCommune[[#This Row],[Total global]]-ABS(SalCommune[[#This Row],[Dont non opposable]]))</f>
        <v/>
      </c>
      <c r="AC599" s="8"/>
      <c r="AD599" s="63"/>
      <c r="AE599" s="430"/>
      <c r="AF599" s="430"/>
      <c r="AG599" s="430"/>
      <c r="AH599" s="181"/>
      <c r="AI599" s="194">
        <f>IF(COUNTA(SalCommune[[#This Row],[N°]:[heures annuelles
selon contrat(s)]])=0,"",REVEX!$E$9)</f>
        <v>0</v>
      </c>
      <c r="AJ599" s="72" t="str">
        <f>IF(SalCommune[[#This Row],[Allocations fonctions]]="","",IF(ISNA(VLOOKUP(SalCommune[[#This Row],[Allocations fonctions]],DROPDOWN[Dropdown82],1,FALSE))=TRUE,"&lt;-- Veuillez choisir l'allocation parmis la liste déroulante.",""))</f>
        <v/>
      </c>
    </row>
    <row r="600" spans="1:36" x14ac:dyDescent="0.25">
      <c r="A600" s="72" t="str">
        <f>IF(SalCommune[[#This Row],[Statut]]="","",IF(ISNA(VLOOKUP(SalCommune[[#This Row],[Statut]],'Grille communale'!$B$3:$B$5,1,FALSE))=TRUE,"Veuillez choisir le statut parmis la liste déroulante",""))</f>
        <v/>
      </c>
      <c r="B600" s="725" t="str">
        <f>IF(SalCommune[[#This Row],[Matricule]]="","",MAX($B$7:B599)+1)</f>
        <v/>
      </c>
      <c r="C600" s="8"/>
      <c r="D600" s="8"/>
      <c r="E600" s="20"/>
      <c r="F600" s="8"/>
      <c r="G600" s="8"/>
      <c r="H600" s="9"/>
      <c r="I600" s="9"/>
      <c r="J600" s="9"/>
      <c r="K600" s="10"/>
      <c r="L600" s="10"/>
      <c r="M600" s="9"/>
      <c r="N600" s="9"/>
      <c r="O600" s="9"/>
      <c r="P60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0" s="9"/>
      <c r="R600" s="9"/>
      <c r="S600" s="9"/>
      <c r="T600" s="37"/>
      <c r="U600" s="37"/>
      <c r="V600" s="37"/>
      <c r="W600" s="37"/>
      <c r="X600" s="37"/>
      <c r="Y600" s="37"/>
      <c r="Z60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0" s="37"/>
      <c r="AB600" s="66" t="str">
        <f>IF(COUNTA(SalCommune[[#This Row],[Nom]:[heures annuelles
selon contrat(s)]])=0,"",SalCommune[[#This Row],[Total global]]-ABS(SalCommune[[#This Row],[Dont non opposable]]))</f>
        <v/>
      </c>
      <c r="AC600" s="8"/>
      <c r="AD600" s="63"/>
      <c r="AE600" s="430"/>
      <c r="AF600" s="430"/>
      <c r="AG600" s="430"/>
      <c r="AH600" s="181"/>
      <c r="AI600" s="194">
        <f>IF(COUNTA(SalCommune[[#This Row],[N°]:[heures annuelles
selon contrat(s)]])=0,"",REVEX!$E$9)</f>
        <v>0</v>
      </c>
      <c r="AJ600" s="72" t="str">
        <f>IF(SalCommune[[#This Row],[Allocations fonctions]]="","",IF(ISNA(VLOOKUP(SalCommune[[#This Row],[Allocations fonctions]],DROPDOWN[Dropdown82],1,FALSE))=TRUE,"&lt;-- Veuillez choisir l'allocation parmis la liste déroulante.",""))</f>
        <v/>
      </c>
    </row>
    <row r="601" spans="1:36" x14ac:dyDescent="0.25">
      <c r="A601" s="72" t="str">
        <f>IF(SalCommune[[#This Row],[Statut]]="","",IF(ISNA(VLOOKUP(SalCommune[[#This Row],[Statut]],'Grille communale'!$B$3:$B$5,1,FALSE))=TRUE,"Veuillez choisir le statut parmis la liste déroulante",""))</f>
        <v/>
      </c>
      <c r="B601" s="725" t="str">
        <f>IF(SalCommune[[#This Row],[Matricule]]="","",MAX($B$7:B600)+1)</f>
        <v/>
      </c>
      <c r="C601" s="8"/>
      <c r="D601" s="8"/>
      <c r="E601" s="20"/>
      <c r="F601" s="8"/>
      <c r="G601" s="8"/>
      <c r="H601" s="9"/>
      <c r="I601" s="9"/>
      <c r="J601" s="9"/>
      <c r="K601" s="10"/>
      <c r="L601" s="10"/>
      <c r="M601" s="9"/>
      <c r="N601" s="9"/>
      <c r="O601" s="9"/>
      <c r="P60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1" s="9"/>
      <c r="R601" s="9"/>
      <c r="S601" s="9"/>
      <c r="T601" s="37"/>
      <c r="U601" s="37"/>
      <c r="V601" s="37"/>
      <c r="W601" s="37"/>
      <c r="X601" s="37"/>
      <c r="Y601" s="37"/>
      <c r="Z60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1" s="37"/>
      <c r="AB601" s="66" t="str">
        <f>IF(COUNTA(SalCommune[[#This Row],[Nom]:[heures annuelles
selon contrat(s)]])=0,"",SalCommune[[#This Row],[Total global]]-ABS(SalCommune[[#This Row],[Dont non opposable]]))</f>
        <v/>
      </c>
      <c r="AC601" s="8"/>
      <c r="AD601" s="63"/>
      <c r="AE601" s="430"/>
      <c r="AF601" s="430"/>
      <c r="AG601" s="430"/>
      <c r="AH601" s="181"/>
      <c r="AI601" s="194">
        <f>IF(COUNTA(SalCommune[[#This Row],[N°]:[heures annuelles
selon contrat(s)]])=0,"",REVEX!$E$9)</f>
        <v>0</v>
      </c>
      <c r="AJ601" s="72" t="str">
        <f>IF(SalCommune[[#This Row],[Allocations fonctions]]="","",IF(ISNA(VLOOKUP(SalCommune[[#This Row],[Allocations fonctions]],DROPDOWN[Dropdown82],1,FALSE))=TRUE,"&lt;-- Veuillez choisir l'allocation parmis la liste déroulante.",""))</f>
        <v/>
      </c>
    </row>
    <row r="602" spans="1:36" x14ac:dyDescent="0.25">
      <c r="A602" s="72" t="str">
        <f>IF(SalCommune[[#This Row],[Statut]]="","",IF(ISNA(VLOOKUP(SalCommune[[#This Row],[Statut]],'Grille communale'!$B$3:$B$5,1,FALSE))=TRUE,"Veuillez choisir le statut parmis la liste déroulante",""))</f>
        <v/>
      </c>
      <c r="B602" s="725" t="str">
        <f>IF(SalCommune[[#This Row],[Matricule]]="","",MAX($B$7:B601)+1)</f>
        <v/>
      </c>
      <c r="C602" s="8"/>
      <c r="D602" s="8"/>
      <c r="E602" s="20"/>
      <c r="F602" s="8"/>
      <c r="G602" s="8"/>
      <c r="H602" s="9"/>
      <c r="I602" s="9"/>
      <c r="J602" s="9"/>
      <c r="K602" s="10"/>
      <c r="L602" s="10"/>
      <c r="M602" s="9"/>
      <c r="N602" s="9"/>
      <c r="O602" s="9"/>
      <c r="P60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2" s="9"/>
      <c r="R602" s="9"/>
      <c r="S602" s="9"/>
      <c r="T602" s="37"/>
      <c r="U602" s="37"/>
      <c r="V602" s="37"/>
      <c r="W602" s="37"/>
      <c r="X602" s="37"/>
      <c r="Y602" s="37"/>
      <c r="Z60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2" s="37"/>
      <c r="AB602" s="66" t="str">
        <f>IF(COUNTA(SalCommune[[#This Row],[Nom]:[heures annuelles
selon contrat(s)]])=0,"",SalCommune[[#This Row],[Total global]]-ABS(SalCommune[[#This Row],[Dont non opposable]]))</f>
        <v/>
      </c>
      <c r="AC602" s="8"/>
      <c r="AD602" s="63"/>
      <c r="AE602" s="430"/>
      <c r="AF602" s="430"/>
      <c r="AG602" s="430"/>
      <c r="AH602" s="181"/>
      <c r="AI602" s="194">
        <f>IF(COUNTA(SalCommune[[#This Row],[N°]:[heures annuelles
selon contrat(s)]])=0,"",REVEX!$E$9)</f>
        <v>0</v>
      </c>
      <c r="AJ602" s="72" t="str">
        <f>IF(SalCommune[[#This Row],[Allocations fonctions]]="","",IF(ISNA(VLOOKUP(SalCommune[[#This Row],[Allocations fonctions]],DROPDOWN[Dropdown82],1,FALSE))=TRUE,"&lt;-- Veuillez choisir l'allocation parmis la liste déroulante.",""))</f>
        <v/>
      </c>
    </row>
    <row r="603" spans="1:36" x14ac:dyDescent="0.25">
      <c r="A603" s="72" t="str">
        <f>IF(SalCommune[[#This Row],[Statut]]="","",IF(ISNA(VLOOKUP(SalCommune[[#This Row],[Statut]],'Grille communale'!$B$3:$B$5,1,FALSE))=TRUE,"Veuillez choisir le statut parmis la liste déroulante",""))</f>
        <v/>
      </c>
      <c r="B603" s="725" t="str">
        <f>IF(SalCommune[[#This Row],[Matricule]]="","",MAX($B$7:B602)+1)</f>
        <v/>
      </c>
      <c r="C603" s="8"/>
      <c r="D603" s="8"/>
      <c r="E603" s="20"/>
      <c r="F603" s="8"/>
      <c r="G603" s="8"/>
      <c r="H603" s="9"/>
      <c r="I603" s="9"/>
      <c r="J603" s="9"/>
      <c r="K603" s="10"/>
      <c r="L603" s="10"/>
      <c r="M603" s="9"/>
      <c r="N603" s="9"/>
      <c r="O603" s="9"/>
      <c r="P60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3" s="9"/>
      <c r="R603" s="9"/>
      <c r="S603" s="9"/>
      <c r="T603" s="37"/>
      <c r="U603" s="37"/>
      <c r="V603" s="37"/>
      <c r="W603" s="37"/>
      <c r="X603" s="37"/>
      <c r="Y603" s="37"/>
      <c r="Z60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3" s="37"/>
      <c r="AB603" s="66" t="str">
        <f>IF(COUNTA(SalCommune[[#This Row],[Nom]:[heures annuelles
selon contrat(s)]])=0,"",SalCommune[[#This Row],[Total global]]-ABS(SalCommune[[#This Row],[Dont non opposable]]))</f>
        <v/>
      </c>
      <c r="AC603" s="8"/>
      <c r="AD603" s="63"/>
      <c r="AE603" s="430"/>
      <c r="AF603" s="430"/>
      <c r="AG603" s="430"/>
      <c r="AH603" s="181"/>
      <c r="AI603" s="194">
        <f>IF(COUNTA(SalCommune[[#This Row],[N°]:[heures annuelles
selon contrat(s)]])=0,"",REVEX!$E$9)</f>
        <v>0</v>
      </c>
      <c r="AJ603" s="72" t="str">
        <f>IF(SalCommune[[#This Row],[Allocations fonctions]]="","",IF(ISNA(VLOOKUP(SalCommune[[#This Row],[Allocations fonctions]],DROPDOWN[Dropdown82],1,FALSE))=TRUE,"&lt;-- Veuillez choisir l'allocation parmis la liste déroulante.",""))</f>
        <v/>
      </c>
    </row>
    <row r="604" spans="1:36" x14ac:dyDescent="0.25">
      <c r="A604" s="72" t="str">
        <f>IF(SalCommune[[#This Row],[Statut]]="","",IF(ISNA(VLOOKUP(SalCommune[[#This Row],[Statut]],'Grille communale'!$B$3:$B$5,1,FALSE))=TRUE,"Veuillez choisir le statut parmis la liste déroulante",""))</f>
        <v/>
      </c>
      <c r="B604" s="725" t="str">
        <f>IF(SalCommune[[#This Row],[Matricule]]="","",MAX($B$7:B603)+1)</f>
        <v/>
      </c>
      <c r="C604" s="8"/>
      <c r="D604" s="8"/>
      <c r="E604" s="20"/>
      <c r="F604" s="8"/>
      <c r="G604" s="8"/>
      <c r="H604" s="9"/>
      <c r="I604" s="9"/>
      <c r="J604" s="9"/>
      <c r="K604" s="10"/>
      <c r="L604" s="10"/>
      <c r="M604" s="9"/>
      <c r="N604" s="9"/>
      <c r="O604" s="9"/>
      <c r="P60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4" s="9"/>
      <c r="R604" s="9"/>
      <c r="S604" s="9"/>
      <c r="T604" s="37"/>
      <c r="U604" s="37"/>
      <c r="V604" s="37"/>
      <c r="W604" s="37"/>
      <c r="X604" s="37"/>
      <c r="Y604" s="37"/>
      <c r="Z60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4" s="37"/>
      <c r="AB604" s="66" t="str">
        <f>IF(COUNTA(SalCommune[[#This Row],[Nom]:[heures annuelles
selon contrat(s)]])=0,"",SalCommune[[#This Row],[Total global]]-ABS(SalCommune[[#This Row],[Dont non opposable]]))</f>
        <v/>
      </c>
      <c r="AC604" s="8"/>
      <c r="AD604" s="63"/>
      <c r="AE604" s="430"/>
      <c r="AF604" s="430"/>
      <c r="AG604" s="430"/>
      <c r="AH604" s="181"/>
      <c r="AI604" s="194">
        <f>IF(COUNTA(SalCommune[[#This Row],[N°]:[heures annuelles
selon contrat(s)]])=0,"",REVEX!$E$9)</f>
        <v>0</v>
      </c>
      <c r="AJ604" s="72" t="str">
        <f>IF(SalCommune[[#This Row],[Allocations fonctions]]="","",IF(ISNA(VLOOKUP(SalCommune[[#This Row],[Allocations fonctions]],DROPDOWN[Dropdown82],1,FALSE))=TRUE,"&lt;-- Veuillez choisir l'allocation parmis la liste déroulante.",""))</f>
        <v/>
      </c>
    </row>
    <row r="605" spans="1:36" x14ac:dyDescent="0.25">
      <c r="A605" s="72" t="str">
        <f>IF(SalCommune[[#This Row],[Statut]]="","",IF(ISNA(VLOOKUP(SalCommune[[#This Row],[Statut]],'Grille communale'!$B$3:$B$5,1,FALSE))=TRUE,"Veuillez choisir le statut parmis la liste déroulante",""))</f>
        <v/>
      </c>
      <c r="B605" s="725" t="str">
        <f>IF(SalCommune[[#This Row],[Matricule]]="","",MAX($B$7:B604)+1)</f>
        <v/>
      </c>
      <c r="C605" s="8"/>
      <c r="D605" s="8"/>
      <c r="E605" s="20"/>
      <c r="F605" s="8"/>
      <c r="G605" s="8"/>
      <c r="H605" s="9"/>
      <c r="I605" s="9"/>
      <c r="J605" s="9"/>
      <c r="K605" s="10"/>
      <c r="L605" s="10"/>
      <c r="M605" s="9"/>
      <c r="N605" s="9"/>
      <c r="O605" s="9"/>
      <c r="P60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5" s="9"/>
      <c r="R605" s="9"/>
      <c r="S605" s="9"/>
      <c r="T605" s="37"/>
      <c r="U605" s="37"/>
      <c r="V605" s="37"/>
      <c r="W605" s="37"/>
      <c r="X605" s="37"/>
      <c r="Y605" s="37"/>
      <c r="Z60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5" s="37"/>
      <c r="AB605" s="66" t="str">
        <f>IF(COUNTA(SalCommune[[#This Row],[Nom]:[heures annuelles
selon contrat(s)]])=0,"",SalCommune[[#This Row],[Total global]]-ABS(SalCommune[[#This Row],[Dont non opposable]]))</f>
        <v/>
      </c>
      <c r="AC605" s="8"/>
      <c r="AD605" s="63"/>
      <c r="AE605" s="430"/>
      <c r="AF605" s="430"/>
      <c r="AG605" s="430"/>
      <c r="AH605" s="181"/>
      <c r="AI605" s="194">
        <f>IF(COUNTA(SalCommune[[#This Row],[N°]:[heures annuelles
selon contrat(s)]])=0,"",REVEX!$E$9)</f>
        <v>0</v>
      </c>
      <c r="AJ605" s="72" t="str">
        <f>IF(SalCommune[[#This Row],[Allocations fonctions]]="","",IF(ISNA(VLOOKUP(SalCommune[[#This Row],[Allocations fonctions]],DROPDOWN[Dropdown82],1,FALSE))=TRUE,"&lt;-- Veuillez choisir l'allocation parmis la liste déroulante.",""))</f>
        <v/>
      </c>
    </row>
    <row r="606" spans="1:36" x14ac:dyDescent="0.25">
      <c r="A606" s="72" t="str">
        <f>IF(SalCommune[[#This Row],[Statut]]="","",IF(ISNA(VLOOKUP(SalCommune[[#This Row],[Statut]],'Grille communale'!$B$3:$B$5,1,FALSE))=TRUE,"Veuillez choisir le statut parmis la liste déroulante",""))</f>
        <v/>
      </c>
      <c r="B606" s="725" t="str">
        <f>IF(SalCommune[[#This Row],[Matricule]]="","",MAX($B$7:B605)+1)</f>
        <v/>
      </c>
      <c r="C606" s="8"/>
      <c r="D606" s="8"/>
      <c r="E606" s="20"/>
      <c r="F606" s="8"/>
      <c r="G606" s="8"/>
      <c r="H606" s="9"/>
      <c r="I606" s="9"/>
      <c r="J606" s="9"/>
      <c r="K606" s="10"/>
      <c r="L606" s="10"/>
      <c r="M606" s="9"/>
      <c r="N606" s="9"/>
      <c r="O606" s="9"/>
      <c r="P60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6" s="9"/>
      <c r="R606" s="9"/>
      <c r="S606" s="9"/>
      <c r="T606" s="37"/>
      <c r="U606" s="37"/>
      <c r="V606" s="37"/>
      <c r="W606" s="37"/>
      <c r="X606" s="37"/>
      <c r="Y606" s="37"/>
      <c r="Z60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6" s="37"/>
      <c r="AB606" s="66" t="str">
        <f>IF(COUNTA(SalCommune[[#This Row],[Nom]:[heures annuelles
selon contrat(s)]])=0,"",SalCommune[[#This Row],[Total global]]-ABS(SalCommune[[#This Row],[Dont non opposable]]))</f>
        <v/>
      </c>
      <c r="AC606" s="8"/>
      <c r="AD606" s="63"/>
      <c r="AE606" s="430"/>
      <c r="AF606" s="430"/>
      <c r="AG606" s="430"/>
      <c r="AH606" s="181"/>
      <c r="AI606" s="194">
        <f>IF(COUNTA(SalCommune[[#This Row],[N°]:[heures annuelles
selon contrat(s)]])=0,"",REVEX!$E$9)</f>
        <v>0</v>
      </c>
      <c r="AJ606" s="72" t="str">
        <f>IF(SalCommune[[#This Row],[Allocations fonctions]]="","",IF(ISNA(VLOOKUP(SalCommune[[#This Row],[Allocations fonctions]],DROPDOWN[Dropdown82],1,FALSE))=TRUE,"&lt;-- Veuillez choisir l'allocation parmis la liste déroulante.",""))</f>
        <v/>
      </c>
    </row>
    <row r="607" spans="1:36" x14ac:dyDescent="0.25">
      <c r="A607" s="72" t="str">
        <f>IF(SalCommune[[#This Row],[Statut]]="","",IF(ISNA(VLOOKUP(SalCommune[[#This Row],[Statut]],'Grille communale'!$B$3:$B$5,1,FALSE))=TRUE,"Veuillez choisir le statut parmis la liste déroulante",""))</f>
        <v/>
      </c>
      <c r="B607" s="725" t="str">
        <f>IF(SalCommune[[#This Row],[Matricule]]="","",MAX($B$7:B606)+1)</f>
        <v/>
      </c>
      <c r="C607" s="8"/>
      <c r="D607" s="8"/>
      <c r="E607" s="20"/>
      <c r="F607" s="8"/>
      <c r="G607" s="8"/>
      <c r="H607" s="9"/>
      <c r="I607" s="9"/>
      <c r="J607" s="9"/>
      <c r="K607" s="10"/>
      <c r="L607" s="10"/>
      <c r="M607" s="9"/>
      <c r="N607" s="9"/>
      <c r="O607" s="9"/>
      <c r="P60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7" s="9"/>
      <c r="R607" s="9"/>
      <c r="S607" s="9"/>
      <c r="T607" s="37"/>
      <c r="U607" s="37"/>
      <c r="V607" s="37"/>
      <c r="W607" s="37"/>
      <c r="X607" s="37"/>
      <c r="Y607" s="37"/>
      <c r="Z60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7" s="37"/>
      <c r="AB607" s="66" t="str">
        <f>IF(COUNTA(SalCommune[[#This Row],[Nom]:[heures annuelles
selon contrat(s)]])=0,"",SalCommune[[#This Row],[Total global]]-ABS(SalCommune[[#This Row],[Dont non opposable]]))</f>
        <v/>
      </c>
      <c r="AC607" s="8"/>
      <c r="AD607" s="63"/>
      <c r="AE607" s="430"/>
      <c r="AF607" s="430"/>
      <c r="AG607" s="430"/>
      <c r="AH607" s="181"/>
      <c r="AI607" s="194">
        <f>IF(COUNTA(SalCommune[[#This Row],[N°]:[heures annuelles
selon contrat(s)]])=0,"",REVEX!$E$9)</f>
        <v>0</v>
      </c>
      <c r="AJ607" s="72" t="str">
        <f>IF(SalCommune[[#This Row],[Allocations fonctions]]="","",IF(ISNA(VLOOKUP(SalCommune[[#This Row],[Allocations fonctions]],DROPDOWN[Dropdown82],1,FALSE))=TRUE,"&lt;-- Veuillez choisir l'allocation parmis la liste déroulante.",""))</f>
        <v/>
      </c>
    </row>
    <row r="608" spans="1:36" x14ac:dyDescent="0.25">
      <c r="A608" s="72" t="str">
        <f>IF(SalCommune[[#This Row],[Statut]]="","",IF(ISNA(VLOOKUP(SalCommune[[#This Row],[Statut]],'Grille communale'!$B$3:$B$5,1,FALSE))=TRUE,"Veuillez choisir le statut parmis la liste déroulante",""))</f>
        <v/>
      </c>
      <c r="B608" s="725" t="str">
        <f>IF(SalCommune[[#This Row],[Matricule]]="","",MAX($B$7:B607)+1)</f>
        <v/>
      </c>
      <c r="C608" s="8"/>
      <c r="D608" s="8"/>
      <c r="E608" s="20"/>
      <c r="F608" s="8"/>
      <c r="G608" s="8"/>
      <c r="H608" s="9"/>
      <c r="I608" s="9"/>
      <c r="J608" s="9"/>
      <c r="K608" s="10"/>
      <c r="L608" s="10"/>
      <c r="M608" s="9"/>
      <c r="N608" s="9"/>
      <c r="O608" s="9"/>
      <c r="P60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8" s="9"/>
      <c r="R608" s="9"/>
      <c r="S608" s="9"/>
      <c r="T608" s="37"/>
      <c r="U608" s="37"/>
      <c r="V608" s="37"/>
      <c r="W608" s="37"/>
      <c r="X608" s="37"/>
      <c r="Y608" s="37"/>
      <c r="Z60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8" s="37"/>
      <c r="AB608" s="66" t="str">
        <f>IF(COUNTA(SalCommune[[#This Row],[Nom]:[heures annuelles
selon contrat(s)]])=0,"",SalCommune[[#This Row],[Total global]]-ABS(SalCommune[[#This Row],[Dont non opposable]]))</f>
        <v/>
      </c>
      <c r="AC608" s="8"/>
      <c r="AD608" s="63"/>
      <c r="AE608" s="430"/>
      <c r="AF608" s="430"/>
      <c r="AG608" s="430"/>
      <c r="AH608" s="181"/>
      <c r="AI608" s="194">
        <f>IF(COUNTA(SalCommune[[#This Row],[N°]:[heures annuelles
selon contrat(s)]])=0,"",REVEX!$E$9)</f>
        <v>0</v>
      </c>
      <c r="AJ608" s="72" t="str">
        <f>IF(SalCommune[[#This Row],[Allocations fonctions]]="","",IF(ISNA(VLOOKUP(SalCommune[[#This Row],[Allocations fonctions]],DROPDOWN[Dropdown82],1,FALSE))=TRUE,"&lt;-- Veuillez choisir l'allocation parmis la liste déroulante.",""))</f>
        <v/>
      </c>
    </row>
    <row r="609" spans="1:36" x14ac:dyDescent="0.25">
      <c r="A609" s="72" t="str">
        <f>IF(SalCommune[[#This Row],[Statut]]="","",IF(ISNA(VLOOKUP(SalCommune[[#This Row],[Statut]],'Grille communale'!$B$3:$B$5,1,FALSE))=TRUE,"Veuillez choisir le statut parmis la liste déroulante",""))</f>
        <v/>
      </c>
      <c r="B609" s="725" t="str">
        <f>IF(SalCommune[[#This Row],[Matricule]]="","",MAX($B$7:B608)+1)</f>
        <v/>
      </c>
      <c r="C609" s="8"/>
      <c r="D609" s="8"/>
      <c r="E609" s="20"/>
      <c r="F609" s="8"/>
      <c r="G609" s="8"/>
      <c r="H609" s="9"/>
      <c r="I609" s="9"/>
      <c r="J609" s="9"/>
      <c r="K609" s="10"/>
      <c r="L609" s="10"/>
      <c r="M609" s="9"/>
      <c r="N609" s="9"/>
      <c r="O609" s="9"/>
      <c r="P60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09" s="9"/>
      <c r="R609" s="9"/>
      <c r="S609" s="9"/>
      <c r="T609" s="37"/>
      <c r="U609" s="37"/>
      <c r="V609" s="37"/>
      <c r="W609" s="37"/>
      <c r="X609" s="37"/>
      <c r="Y609" s="37"/>
      <c r="Z60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09" s="37"/>
      <c r="AB609" s="66" t="str">
        <f>IF(COUNTA(SalCommune[[#This Row],[Nom]:[heures annuelles
selon contrat(s)]])=0,"",SalCommune[[#This Row],[Total global]]-ABS(SalCommune[[#This Row],[Dont non opposable]]))</f>
        <v/>
      </c>
      <c r="AC609" s="8"/>
      <c r="AD609" s="63"/>
      <c r="AE609" s="430"/>
      <c r="AF609" s="430"/>
      <c r="AG609" s="430"/>
      <c r="AH609" s="181"/>
      <c r="AI609" s="194">
        <f>IF(COUNTA(SalCommune[[#This Row],[N°]:[heures annuelles
selon contrat(s)]])=0,"",REVEX!$E$9)</f>
        <v>0</v>
      </c>
      <c r="AJ609" s="72" t="str">
        <f>IF(SalCommune[[#This Row],[Allocations fonctions]]="","",IF(ISNA(VLOOKUP(SalCommune[[#This Row],[Allocations fonctions]],DROPDOWN[Dropdown82],1,FALSE))=TRUE,"&lt;-- Veuillez choisir l'allocation parmis la liste déroulante.",""))</f>
        <v/>
      </c>
    </row>
    <row r="610" spans="1:36" x14ac:dyDescent="0.25">
      <c r="A610" s="72" t="str">
        <f>IF(SalCommune[[#This Row],[Statut]]="","",IF(ISNA(VLOOKUP(SalCommune[[#This Row],[Statut]],'Grille communale'!$B$3:$B$5,1,FALSE))=TRUE,"Veuillez choisir le statut parmis la liste déroulante",""))</f>
        <v/>
      </c>
      <c r="B610" s="725" t="str">
        <f>IF(SalCommune[[#This Row],[Matricule]]="","",MAX($B$7:B609)+1)</f>
        <v/>
      </c>
      <c r="C610" s="8"/>
      <c r="D610" s="8"/>
      <c r="E610" s="20"/>
      <c r="F610" s="8"/>
      <c r="G610" s="8"/>
      <c r="H610" s="9"/>
      <c r="I610" s="9"/>
      <c r="J610" s="9"/>
      <c r="K610" s="10"/>
      <c r="L610" s="10"/>
      <c r="M610" s="9"/>
      <c r="N610" s="9"/>
      <c r="O610" s="9"/>
      <c r="P61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0" s="9"/>
      <c r="R610" s="9"/>
      <c r="S610" s="9"/>
      <c r="T610" s="37"/>
      <c r="U610" s="37"/>
      <c r="V610" s="37"/>
      <c r="W610" s="37"/>
      <c r="X610" s="37"/>
      <c r="Y610" s="37"/>
      <c r="Z61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0" s="37"/>
      <c r="AB610" s="66" t="str">
        <f>IF(COUNTA(SalCommune[[#This Row],[Nom]:[heures annuelles
selon contrat(s)]])=0,"",SalCommune[[#This Row],[Total global]]-ABS(SalCommune[[#This Row],[Dont non opposable]]))</f>
        <v/>
      </c>
      <c r="AC610" s="8"/>
      <c r="AD610" s="63"/>
      <c r="AE610" s="430"/>
      <c r="AF610" s="430"/>
      <c r="AG610" s="430"/>
      <c r="AH610" s="181"/>
      <c r="AI610" s="194">
        <f>IF(COUNTA(SalCommune[[#This Row],[N°]:[heures annuelles
selon contrat(s)]])=0,"",REVEX!$E$9)</f>
        <v>0</v>
      </c>
      <c r="AJ610" s="72" t="str">
        <f>IF(SalCommune[[#This Row],[Allocations fonctions]]="","",IF(ISNA(VLOOKUP(SalCommune[[#This Row],[Allocations fonctions]],DROPDOWN[Dropdown82],1,FALSE))=TRUE,"&lt;-- Veuillez choisir l'allocation parmis la liste déroulante.",""))</f>
        <v/>
      </c>
    </row>
    <row r="611" spans="1:36" x14ac:dyDescent="0.25">
      <c r="A611" s="72" t="str">
        <f>IF(SalCommune[[#This Row],[Statut]]="","",IF(ISNA(VLOOKUP(SalCommune[[#This Row],[Statut]],'Grille communale'!$B$3:$B$5,1,FALSE))=TRUE,"Veuillez choisir le statut parmis la liste déroulante",""))</f>
        <v/>
      </c>
      <c r="B611" s="725" t="str">
        <f>IF(SalCommune[[#This Row],[Matricule]]="","",MAX($B$7:B610)+1)</f>
        <v/>
      </c>
      <c r="C611" s="8"/>
      <c r="D611" s="8"/>
      <c r="E611" s="20"/>
      <c r="F611" s="8"/>
      <c r="G611" s="8"/>
      <c r="H611" s="9"/>
      <c r="I611" s="9"/>
      <c r="J611" s="9"/>
      <c r="K611" s="10"/>
      <c r="L611" s="10"/>
      <c r="M611" s="9"/>
      <c r="N611" s="9"/>
      <c r="O611" s="9"/>
      <c r="P61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1" s="9"/>
      <c r="R611" s="9"/>
      <c r="S611" s="9"/>
      <c r="T611" s="37"/>
      <c r="U611" s="37"/>
      <c r="V611" s="37"/>
      <c r="W611" s="37"/>
      <c r="X611" s="37"/>
      <c r="Y611" s="37"/>
      <c r="Z61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1" s="37"/>
      <c r="AB611" s="66" t="str">
        <f>IF(COUNTA(SalCommune[[#This Row],[Nom]:[heures annuelles
selon contrat(s)]])=0,"",SalCommune[[#This Row],[Total global]]-ABS(SalCommune[[#This Row],[Dont non opposable]]))</f>
        <v/>
      </c>
      <c r="AC611" s="8"/>
      <c r="AD611" s="63"/>
      <c r="AE611" s="430"/>
      <c r="AF611" s="430"/>
      <c r="AG611" s="430"/>
      <c r="AH611" s="181"/>
      <c r="AI611" s="194">
        <f>IF(COUNTA(SalCommune[[#This Row],[N°]:[heures annuelles
selon contrat(s)]])=0,"",REVEX!$E$9)</f>
        <v>0</v>
      </c>
      <c r="AJ611" s="72" t="str">
        <f>IF(SalCommune[[#This Row],[Allocations fonctions]]="","",IF(ISNA(VLOOKUP(SalCommune[[#This Row],[Allocations fonctions]],DROPDOWN[Dropdown82],1,FALSE))=TRUE,"&lt;-- Veuillez choisir l'allocation parmis la liste déroulante.",""))</f>
        <v/>
      </c>
    </row>
    <row r="612" spans="1:36" x14ac:dyDescent="0.25">
      <c r="A612" s="72" t="str">
        <f>IF(SalCommune[[#This Row],[Statut]]="","",IF(ISNA(VLOOKUP(SalCommune[[#This Row],[Statut]],'Grille communale'!$B$3:$B$5,1,FALSE))=TRUE,"Veuillez choisir le statut parmis la liste déroulante",""))</f>
        <v/>
      </c>
      <c r="B612" s="725" t="str">
        <f>IF(SalCommune[[#This Row],[Matricule]]="","",MAX($B$7:B611)+1)</f>
        <v/>
      </c>
      <c r="C612" s="8"/>
      <c r="D612" s="8"/>
      <c r="E612" s="20"/>
      <c r="F612" s="8"/>
      <c r="G612" s="8"/>
      <c r="H612" s="9"/>
      <c r="I612" s="9"/>
      <c r="J612" s="9"/>
      <c r="K612" s="10"/>
      <c r="L612" s="10"/>
      <c r="M612" s="9"/>
      <c r="N612" s="9"/>
      <c r="O612" s="9"/>
      <c r="P61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2" s="9"/>
      <c r="R612" s="9"/>
      <c r="S612" s="9"/>
      <c r="T612" s="37"/>
      <c r="U612" s="37"/>
      <c r="V612" s="37"/>
      <c r="W612" s="37"/>
      <c r="X612" s="37"/>
      <c r="Y612" s="37"/>
      <c r="Z61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2" s="37"/>
      <c r="AB612" s="66" t="str">
        <f>IF(COUNTA(SalCommune[[#This Row],[Nom]:[heures annuelles
selon contrat(s)]])=0,"",SalCommune[[#This Row],[Total global]]-ABS(SalCommune[[#This Row],[Dont non opposable]]))</f>
        <v/>
      </c>
      <c r="AC612" s="8"/>
      <c r="AD612" s="63"/>
      <c r="AE612" s="430"/>
      <c r="AF612" s="430"/>
      <c r="AG612" s="430"/>
      <c r="AH612" s="181"/>
      <c r="AI612" s="194">
        <f>IF(COUNTA(SalCommune[[#This Row],[N°]:[heures annuelles
selon contrat(s)]])=0,"",REVEX!$E$9)</f>
        <v>0</v>
      </c>
      <c r="AJ612" s="72" t="str">
        <f>IF(SalCommune[[#This Row],[Allocations fonctions]]="","",IF(ISNA(VLOOKUP(SalCommune[[#This Row],[Allocations fonctions]],DROPDOWN[Dropdown82],1,FALSE))=TRUE,"&lt;-- Veuillez choisir l'allocation parmis la liste déroulante.",""))</f>
        <v/>
      </c>
    </row>
    <row r="613" spans="1:36" x14ac:dyDescent="0.25">
      <c r="A613" s="72" t="str">
        <f>IF(SalCommune[[#This Row],[Statut]]="","",IF(ISNA(VLOOKUP(SalCommune[[#This Row],[Statut]],'Grille communale'!$B$3:$B$5,1,FALSE))=TRUE,"Veuillez choisir le statut parmis la liste déroulante",""))</f>
        <v/>
      </c>
      <c r="B613" s="725" t="str">
        <f>IF(SalCommune[[#This Row],[Matricule]]="","",MAX($B$7:B612)+1)</f>
        <v/>
      </c>
      <c r="C613" s="8"/>
      <c r="D613" s="8"/>
      <c r="E613" s="20"/>
      <c r="F613" s="8"/>
      <c r="G613" s="8"/>
      <c r="H613" s="9"/>
      <c r="I613" s="9"/>
      <c r="J613" s="9"/>
      <c r="K613" s="10"/>
      <c r="L613" s="10"/>
      <c r="M613" s="9"/>
      <c r="N613" s="9"/>
      <c r="O613" s="9"/>
      <c r="P61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3" s="9"/>
      <c r="R613" s="9"/>
      <c r="S613" s="9"/>
      <c r="T613" s="37"/>
      <c r="U613" s="37"/>
      <c r="V613" s="37"/>
      <c r="W613" s="37"/>
      <c r="X613" s="37"/>
      <c r="Y613" s="37"/>
      <c r="Z61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3" s="37"/>
      <c r="AB613" s="66" t="str">
        <f>IF(COUNTA(SalCommune[[#This Row],[Nom]:[heures annuelles
selon contrat(s)]])=0,"",SalCommune[[#This Row],[Total global]]-ABS(SalCommune[[#This Row],[Dont non opposable]]))</f>
        <v/>
      </c>
      <c r="AC613" s="8"/>
      <c r="AD613" s="63"/>
      <c r="AE613" s="430"/>
      <c r="AF613" s="430"/>
      <c r="AG613" s="430"/>
      <c r="AH613" s="181"/>
      <c r="AI613" s="194">
        <f>IF(COUNTA(SalCommune[[#This Row],[N°]:[heures annuelles
selon contrat(s)]])=0,"",REVEX!$E$9)</f>
        <v>0</v>
      </c>
      <c r="AJ613" s="72" t="str">
        <f>IF(SalCommune[[#This Row],[Allocations fonctions]]="","",IF(ISNA(VLOOKUP(SalCommune[[#This Row],[Allocations fonctions]],DROPDOWN[Dropdown82],1,FALSE))=TRUE,"&lt;-- Veuillez choisir l'allocation parmis la liste déroulante.",""))</f>
        <v/>
      </c>
    </row>
    <row r="614" spans="1:36" x14ac:dyDescent="0.25">
      <c r="A614" s="72" t="str">
        <f>IF(SalCommune[[#This Row],[Statut]]="","",IF(ISNA(VLOOKUP(SalCommune[[#This Row],[Statut]],'Grille communale'!$B$3:$B$5,1,FALSE))=TRUE,"Veuillez choisir le statut parmis la liste déroulante",""))</f>
        <v/>
      </c>
      <c r="B614" s="725" t="str">
        <f>IF(SalCommune[[#This Row],[Matricule]]="","",MAX($B$7:B613)+1)</f>
        <v/>
      </c>
      <c r="C614" s="8"/>
      <c r="D614" s="8"/>
      <c r="E614" s="20"/>
      <c r="F614" s="8"/>
      <c r="G614" s="8"/>
      <c r="H614" s="9"/>
      <c r="I614" s="9"/>
      <c r="J614" s="9"/>
      <c r="K614" s="10"/>
      <c r="L614" s="10"/>
      <c r="M614" s="9"/>
      <c r="N614" s="9"/>
      <c r="O614" s="9"/>
      <c r="P61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4" s="9"/>
      <c r="R614" s="9"/>
      <c r="S614" s="9"/>
      <c r="T614" s="37"/>
      <c r="U614" s="37"/>
      <c r="V614" s="37"/>
      <c r="W614" s="37"/>
      <c r="X614" s="37"/>
      <c r="Y614" s="37"/>
      <c r="Z61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4" s="37"/>
      <c r="AB614" s="66" t="str">
        <f>IF(COUNTA(SalCommune[[#This Row],[Nom]:[heures annuelles
selon contrat(s)]])=0,"",SalCommune[[#This Row],[Total global]]-ABS(SalCommune[[#This Row],[Dont non opposable]]))</f>
        <v/>
      </c>
      <c r="AC614" s="8"/>
      <c r="AD614" s="63"/>
      <c r="AE614" s="430"/>
      <c r="AF614" s="430"/>
      <c r="AG614" s="430"/>
      <c r="AH614" s="181"/>
      <c r="AI614" s="194">
        <f>IF(COUNTA(SalCommune[[#This Row],[N°]:[heures annuelles
selon contrat(s)]])=0,"",REVEX!$E$9)</f>
        <v>0</v>
      </c>
      <c r="AJ614" s="72" t="str">
        <f>IF(SalCommune[[#This Row],[Allocations fonctions]]="","",IF(ISNA(VLOOKUP(SalCommune[[#This Row],[Allocations fonctions]],DROPDOWN[Dropdown82],1,FALSE))=TRUE,"&lt;-- Veuillez choisir l'allocation parmis la liste déroulante.",""))</f>
        <v/>
      </c>
    </row>
    <row r="615" spans="1:36" x14ac:dyDescent="0.25">
      <c r="A615" s="72" t="str">
        <f>IF(SalCommune[[#This Row],[Statut]]="","",IF(ISNA(VLOOKUP(SalCommune[[#This Row],[Statut]],'Grille communale'!$B$3:$B$5,1,FALSE))=TRUE,"Veuillez choisir le statut parmis la liste déroulante",""))</f>
        <v/>
      </c>
      <c r="B615" s="725" t="str">
        <f>IF(SalCommune[[#This Row],[Matricule]]="","",MAX($B$7:B614)+1)</f>
        <v/>
      </c>
      <c r="C615" s="8"/>
      <c r="D615" s="8"/>
      <c r="E615" s="20"/>
      <c r="F615" s="8"/>
      <c r="G615" s="8"/>
      <c r="H615" s="9"/>
      <c r="I615" s="9"/>
      <c r="J615" s="9"/>
      <c r="K615" s="10"/>
      <c r="L615" s="10"/>
      <c r="M615" s="9"/>
      <c r="N615" s="9"/>
      <c r="O615" s="9"/>
      <c r="P61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5" s="9"/>
      <c r="R615" s="9"/>
      <c r="S615" s="9"/>
      <c r="T615" s="37"/>
      <c r="U615" s="37"/>
      <c r="V615" s="37"/>
      <c r="W615" s="37"/>
      <c r="X615" s="37"/>
      <c r="Y615" s="37"/>
      <c r="Z61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5" s="37"/>
      <c r="AB615" s="66" t="str">
        <f>IF(COUNTA(SalCommune[[#This Row],[Nom]:[heures annuelles
selon contrat(s)]])=0,"",SalCommune[[#This Row],[Total global]]-ABS(SalCommune[[#This Row],[Dont non opposable]]))</f>
        <v/>
      </c>
      <c r="AC615" s="8"/>
      <c r="AD615" s="63"/>
      <c r="AE615" s="430"/>
      <c r="AF615" s="430"/>
      <c r="AG615" s="430"/>
      <c r="AH615" s="181"/>
      <c r="AI615" s="194">
        <f>IF(COUNTA(SalCommune[[#This Row],[N°]:[heures annuelles
selon contrat(s)]])=0,"",REVEX!$E$9)</f>
        <v>0</v>
      </c>
      <c r="AJ615" s="72" t="str">
        <f>IF(SalCommune[[#This Row],[Allocations fonctions]]="","",IF(ISNA(VLOOKUP(SalCommune[[#This Row],[Allocations fonctions]],DROPDOWN[Dropdown82],1,FALSE))=TRUE,"&lt;-- Veuillez choisir l'allocation parmis la liste déroulante.",""))</f>
        <v/>
      </c>
    </row>
    <row r="616" spans="1:36" x14ac:dyDescent="0.25">
      <c r="A616" s="72" t="str">
        <f>IF(SalCommune[[#This Row],[Statut]]="","",IF(ISNA(VLOOKUP(SalCommune[[#This Row],[Statut]],'Grille communale'!$B$3:$B$5,1,FALSE))=TRUE,"Veuillez choisir le statut parmis la liste déroulante",""))</f>
        <v/>
      </c>
      <c r="B616" s="725" t="str">
        <f>IF(SalCommune[[#This Row],[Matricule]]="","",MAX($B$7:B615)+1)</f>
        <v/>
      </c>
      <c r="C616" s="8"/>
      <c r="D616" s="8"/>
      <c r="E616" s="20"/>
      <c r="F616" s="8"/>
      <c r="G616" s="8"/>
      <c r="H616" s="9"/>
      <c r="I616" s="9"/>
      <c r="J616" s="9"/>
      <c r="K616" s="10"/>
      <c r="L616" s="10"/>
      <c r="M616" s="9"/>
      <c r="N616" s="9"/>
      <c r="O616" s="9"/>
      <c r="P61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6" s="9"/>
      <c r="R616" s="9"/>
      <c r="S616" s="9"/>
      <c r="T616" s="37"/>
      <c r="U616" s="37"/>
      <c r="V616" s="37"/>
      <c r="W616" s="37"/>
      <c r="X616" s="37"/>
      <c r="Y616" s="37"/>
      <c r="Z61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6" s="37"/>
      <c r="AB616" s="66" t="str">
        <f>IF(COUNTA(SalCommune[[#This Row],[Nom]:[heures annuelles
selon contrat(s)]])=0,"",SalCommune[[#This Row],[Total global]]-ABS(SalCommune[[#This Row],[Dont non opposable]]))</f>
        <v/>
      </c>
      <c r="AC616" s="8"/>
      <c r="AD616" s="63"/>
      <c r="AE616" s="430"/>
      <c r="AF616" s="430"/>
      <c r="AG616" s="430"/>
      <c r="AH616" s="181"/>
      <c r="AI616" s="194">
        <f>IF(COUNTA(SalCommune[[#This Row],[N°]:[heures annuelles
selon contrat(s)]])=0,"",REVEX!$E$9)</f>
        <v>0</v>
      </c>
      <c r="AJ616" s="72" t="str">
        <f>IF(SalCommune[[#This Row],[Allocations fonctions]]="","",IF(ISNA(VLOOKUP(SalCommune[[#This Row],[Allocations fonctions]],DROPDOWN[Dropdown82],1,FALSE))=TRUE,"&lt;-- Veuillez choisir l'allocation parmis la liste déroulante.",""))</f>
        <v/>
      </c>
    </row>
    <row r="617" spans="1:36" x14ac:dyDescent="0.25">
      <c r="A617" s="72" t="str">
        <f>IF(SalCommune[[#This Row],[Statut]]="","",IF(ISNA(VLOOKUP(SalCommune[[#This Row],[Statut]],'Grille communale'!$B$3:$B$5,1,FALSE))=TRUE,"Veuillez choisir le statut parmis la liste déroulante",""))</f>
        <v/>
      </c>
      <c r="B617" s="725" t="str">
        <f>IF(SalCommune[[#This Row],[Matricule]]="","",MAX($B$7:B616)+1)</f>
        <v/>
      </c>
      <c r="C617" s="8"/>
      <c r="D617" s="8"/>
      <c r="E617" s="20"/>
      <c r="F617" s="8"/>
      <c r="G617" s="8"/>
      <c r="H617" s="9"/>
      <c r="I617" s="9"/>
      <c r="J617" s="9"/>
      <c r="K617" s="10"/>
      <c r="L617" s="10"/>
      <c r="M617" s="9"/>
      <c r="N617" s="9"/>
      <c r="O617" s="9"/>
      <c r="P61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7" s="9"/>
      <c r="R617" s="9"/>
      <c r="S617" s="9"/>
      <c r="T617" s="37"/>
      <c r="U617" s="37"/>
      <c r="V617" s="37"/>
      <c r="W617" s="37"/>
      <c r="X617" s="37"/>
      <c r="Y617" s="37"/>
      <c r="Z61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7" s="37"/>
      <c r="AB617" s="66" t="str">
        <f>IF(COUNTA(SalCommune[[#This Row],[Nom]:[heures annuelles
selon contrat(s)]])=0,"",SalCommune[[#This Row],[Total global]]-ABS(SalCommune[[#This Row],[Dont non opposable]]))</f>
        <v/>
      </c>
      <c r="AC617" s="8"/>
      <c r="AD617" s="63"/>
      <c r="AE617" s="430"/>
      <c r="AF617" s="430"/>
      <c r="AG617" s="430"/>
      <c r="AH617" s="181"/>
      <c r="AI617" s="194">
        <f>IF(COUNTA(SalCommune[[#This Row],[N°]:[heures annuelles
selon contrat(s)]])=0,"",REVEX!$E$9)</f>
        <v>0</v>
      </c>
      <c r="AJ617" s="72" t="str">
        <f>IF(SalCommune[[#This Row],[Allocations fonctions]]="","",IF(ISNA(VLOOKUP(SalCommune[[#This Row],[Allocations fonctions]],DROPDOWN[Dropdown82],1,FALSE))=TRUE,"&lt;-- Veuillez choisir l'allocation parmis la liste déroulante.",""))</f>
        <v/>
      </c>
    </row>
    <row r="618" spans="1:36" x14ac:dyDescent="0.25">
      <c r="A618" s="72" t="str">
        <f>IF(SalCommune[[#This Row],[Statut]]="","",IF(ISNA(VLOOKUP(SalCommune[[#This Row],[Statut]],'Grille communale'!$B$3:$B$5,1,FALSE))=TRUE,"Veuillez choisir le statut parmis la liste déroulante",""))</f>
        <v/>
      </c>
      <c r="B618" s="725" t="str">
        <f>IF(SalCommune[[#This Row],[Matricule]]="","",MAX($B$7:B617)+1)</f>
        <v/>
      </c>
      <c r="C618" s="8"/>
      <c r="D618" s="8"/>
      <c r="E618" s="20"/>
      <c r="F618" s="8"/>
      <c r="G618" s="8"/>
      <c r="H618" s="9"/>
      <c r="I618" s="9"/>
      <c r="J618" s="9"/>
      <c r="K618" s="10"/>
      <c r="L618" s="10"/>
      <c r="M618" s="9"/>
      <c r="N618" s="9"/>
      <c r="O618" s="9"/>
      <c r="P61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8" s="9"/>
      <c r="R618" s="9"/>
      <c r="S618" s="9"/>
      <c r="T618" s="37"/>
      <c r="U618" s="37"/>
      <c r="V618" s="37"/>
      <c r="W618" s="37"/>
      <c r="X618" s="37"/>
      <c r="Y618" s="37"/>
      <c r="Z61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8" s="37"/>
      <c r="AB618" s="66" t="str">
        <f>IF(COUNTA(SalCommune[[#This Row],[Nom]:[heures annuelles
selon contrat(s)]])=0,"",SalCommune[[#This Row],[Total global]]-ABS(SalCommune[[#This Row],[Dont non opposable]]))</f>
        <v/>
      </c>
      <c r="AC618" s="8"/>
      <c r="AD618" s="63"/>
      <c r="AE618" s="430"/>
      <c r="AF618" s="430"/>
      <c r="AG618" s="430"/>
      <c r="AH618" s="181"/>
      <c r="AI618" s="194">
        <f>IF(COUNTA(SalCommune[[#This Row],[N°]:[heures annuelles
selon contrat(s)]])=0,"",REVEX!$E$9)</f>
        <v>0</v>
      </c>
      <c r="AJ618" s="72" t="str">
        <f>IF(SalCommune[[#This Row],[Allocations fonctions]]="","",IF(ISNA(VLOOKUP(SalCommune[[#This Row],[Allocations fonctions]],DROPDOWN[Dropdown82],1,FALSE))=TRUE,"&lt;-- Veuillez choisir l'allocation parmis la liste déroulante.",""))</f>
        <v/>
      </c>
    </row>
    <row r="619" spans="1:36" x14ac:dyDescent="0.25">
      <c r="A619" s="72" t="str">
        <f>IF(SalCommune[[#This Row],[Statut]]="","",IF(ISNA(VLOOKUP(SalCommune[[#This Row],[Statut]],'Grille communale'!$B$3:$B$5,1,FALSE))=TRUE,"Veuillez choisir le statut parmis la liste déroulante",""))</f>
        <v/>
      </c>
      <c r="B619" s="725" t="str">
        <f>IF(SalCommune[[#This Row],[Matricule]]="","",MAX($B$7:B618)+1)</f>
        <v/>
      </c>
      <c r="C619" s="8"/>
      <c r="D619" s="8"/>
      <c r="E619" s="20"/>
      <c r="F619" s="8"/>
      <c r="G619" s="8"/>
      <c r="H619" s="9"/>
      <c r="I619" s="9"/>
      <c r="J619" s="9"/>
      <c r="K619" s="10"/>
      <c r="L619" s="10"/>
      <c r="M619" s="9"/>
      <c r="N619" s="9"/>
      <c r="O619" s="9"/>
      <c r="P61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19" s="9"/>
      <c r="R619" s="9"/>
      <c r="S619" s="9"/>
      <c r="T619" s="37"/>
      <c r="U619" s="37"/>
      <c r="V619" s="37"/>
      <c r="W619" s="37"/>
      <c r="X619" s="37"/>
      <c r="Y619" s="37"/>
      <c r="Z61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19" s="37"/>
      <c r="AB619" s="66" t="str">
        <f>IF(COUNTA(SalCommune[[#This Row],[Nom]:[heures annuelles
selon contrat(s)]])=0,"",SalCommune[[#This Row],[Total global]]-ABS(SalCommune[[#This Row],[Dont non opposable]]))</f>
        <v/>
      </c>
      <c r="AC619" s="8"/>
      <c r="AD619" s="63"/>
      <c r="AE619" s="430"/>
      <c r="AF619" s="430"/>
      <c r="AG619" s="430"/>
      <c r="AH619" s="181"/>
      <c r="AI619" s="194">
        <f>IF(COUNTA(SalCommune[[#This Row],[N°]:[heures annuelles
selon contrat(s)]])=0,"",REVEX!$E$9)</f>
        <v>0</v>
      </c>
      <c r="AJ619" s="72" t="str">
        <f>IF(SalCommune[[#This Row],[Allocations fonctions]]="","",IF(ISNA(VLOOKUP(SalCommune[[#This Row],[Allocations fonctions]],DROPDOWN[Dropdown82],1,FALSE))=TRUE,"&lt;-- Veuillez choisir l'allocation parmis la liste déroulante.",""))</f>
        <v/>
      </c>
    </row>
    <row r="620" spans="1:36" x14ac:dyDescent="0.25">
      <c r="A620" s="72" t="str">
        <f>IF(SalCommune[[#This Row],[Statut]]="","",IF(ISNA(VLOOKUP(SalCommune[[#This Row],[Statut]],'Grille communale'!$B$3:$B$5,1,FALSE))=TRUE,"Veuillez choisir le statut parmis la liste déroulante",""))</f>
        <v/>
      </c>
      <c r="B620" s="725" t="str">
        <f>IF(SalCommune[[#This Row],[Matricule]]="","",MAX($B$7:B619)+1)</f>
        <v/>
      </c>
      <c r="C620" s="8"/>
      <c r="D620" s="8"/>
      <c r="E620" s="20"/>
      <c r="F620" s="8"/>
      <c r="G620" s="8"/>
      <c r="H620" s="9"/>
      <c r="I620" s="9"/>
      <c r="J620" s="9"/>
      <c r="K620" s="10"/>
      <c r="L620" s="10"/>
      <c r="M620" s="9"/>
      <c r="N620" s="9"/>
      <c r="O620" s="9"/>
      <c r="P62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0" s="9"/>
      <c r="R620" s="9"/>
      <c r="S620" s="9"/>
      <c r="T620" s="37"/>
      <c r="U620" s="37"/>
      <c r="V620" s="37"/>
      <c r="W620" s="37"/>
      <c r="X620" s="37"/>
      <c r="Y620" s="37"/>
      <c r="Z62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0" s="37"/>
      <c r="AB620" s="66" t="str">
        <f>IF(COUNTA(SalCommune[[#This Row],[Nom]:[heures annuelles
selon contrat(s)]])=0,"",SalCommune[[#This Row],[Total global]]-ABS(SalCommune[[#This Row],[Dont non opposable]]))</f>
        <v/>
      </c>
      <c r="AC620" s="8"/>
      <c r="AD620" s="63"/>
      <c r="AE620" s="430"/>
      <c r="AF620" s="430"/>
      <c r="AG620" s="430"/>
      <c r="AH620" s="181"/>
      <c r="AI620" s="194">
        <f>IF(COUNTA(SalCommune[[#This Row],[N°]:[heures annuelles
selon contrat(s)]])=0,"",REVEX!$E$9)</f>
        <v>0</v>
      </c>
      <c r="AJ620" s="72" t="str">
        <f>IF(SalCommune[[#This Row],[Allocations fonctions]]="","",IF(ISNA(VLOOKUP(SalCommune[[#This Row],[Allocations fonctions]],DROPDOWN[Dropdown82],1,FALSE))=TRUE,"&lt;-- Veuillez choisir l'allocation parmis la liste déroulante.",""))</f>
        <v/>
      </c>
    </row>
    <row r="621" spans="1:36" x14ac:dyDescent="0.25">
      <c r="A621" s="72" t="str">
        <f>IF(SalCommune[[#This Row],[Statut]]="","",IF(ISNA(VLOOKUP(SalCommune[[#This Row],[Statut]],'Grille communale'!$B$3:$B$5,1,FALSE))=TRUE,"Veuillez choisir le statut parmis la liste déroulante",""))</f>
        <v/>
      </c>
      <c r="B621" s="725" t="str">
        <f>IF(SalCommune[[#This Row],[Matricule]]="","",MAX($B$7:B620)+1)</f>
        <v/>
      </c>
      <c r="C621" s="8"/>
      <c r="D621" s="8"/>
      <c r="E621" s="20"/>
      <c r="F621" s="8"/>
      <c r="G621" s="8"/>
      <c r="H621" s="9"/>
      <c r="I621" s="9"/>
      <c r="J621" s="9"/>
      <c r="K621" s="10"/>
      <c r="L621" s="10"/>
      <c r="M621" s="9"/>
      <c r="N621" s="9"/>
      <c r="O621" s="9"/>
      <c r="P62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1" s="9"/>
      <c r="R621" s="9"/>
      <c r="S621" s="9"/>
      <c r="T621" s="37"/>
      <c r="U621" s="37"/>
      <c r="V621" s="37"/>
      <c r="W621" s="37"/>
      <c r="X621" s="37"/>
      <c r="Y621" s="37"/>
      <c r="Z62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1" s="37"/>
      <c r="AB621" s="66" t="str">
        <f>IF(COUNTA(SalCommune[[#This Row],[Nom]:[heures annuelles
selon contrat(s)]])=0,"",SalCommune[[#This Row],[Total global]]-ABS(SalCommune[[#This Row],[Dont non opposable]]))</f>
        <v/>
      </c>
      <c r="AC621" s="8"/>
      <c r="AD621" s="63"/>
      <c r="AE621" s="430"/>
      <c r="AF621" s="430"/>
      <c r="AG621" s="430"/>
      <c r="AH621" s="181"/>
      <c r="AI621" s="194">
        <f>IF(COUNTA(SalCommune[[#This Row],[N°]:[heures annuelles
selon contrat(s)]])=0,"",REVEX!$E$9)</f>
        <v>0</v>
      </c>
      <c r="AJ621" s="72" t="str">
        <f>IF(SalCommune[[#This Row],[Allocations fonctions]]="","",IF(ISNA(VLOOKUP(SalCommune[[#This Row],[Allocations fonctions]],DROPDOWN[Dropdown82],1,FALSE))=TRUE,"&lt;-- Veuillez choisir l'allocation parmis la liste déroulante.",""))</f>
        <v/>
      </c>
    </row>
    <row r="622" spans="1:36" x14ac:dyDescent="0.25">
      <c r="A622" s="72" t="str">
        <f>IF(SalCommune[[#This Row],[Statut]]="","",IF(ISNA(VLOOKUP(SalCommune[[#This Row],[Statut]],'Grille communale'!$B$3:$B$5,1,FALSE))=TRUE,"Veuillez choisir le statut parmis la liste déroulante",""))</f>
        <v/>
      </c>
      <c r="B622" s="725" t="str">
        <f>IF(SalCommune[[#This Row],[Matricule]]="","",MAX($B$7:B621)+1)</f>
        <v/>
      </c>
      <c r="C622" s="8"/>
      <c r="D622" s="8"/>
      <c r="E622" s="20"/>
      <c r="F622" s="8"/>
      <c r="G622" s="8"/>
      <c r="H622" s="9"/>
      <c r="I622" s="9"/>
      <c r="J622" s="9"/>
      <c r="K622" s="10"/>
      <c r="L622" s="10"/>
      <c r="M622" s="9"/>
      <c r="N622" s="9"/>
      <c r="O622" s="9"/>
      <c r="P62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2" s="9"/>
      <c r="R622" s="9"/>
      <c r="S622" s="9"/>
      <c r="T622" s="37"/>
      <c r="U622" s="37"/>
      <c r="V622" s="37"/>
      <c r="W622" s="37"/>
      <c r="X622" s="37"/>
      <c r="Y622" s="37"/>
      <c r="Z62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2" s="37"/>
      <c r="AB622" s="66" t="str">
        <f>IF(COUNTA(SalCommune[[#This Row],[Nom]:[heures annuelles
selon contrat(s)]])=0,"",SalCommune[[#This Row],[Total global]]-ABS(SalCommune[[#This Row],[Dont non opposable]]))</f>
        <v/>
      </c>
      <c r="AC622" s="8"/>
      <c r="AD622" s="63"/>
      <c r="AE622" s="430"/>
      <c r="AF622" s="430"/>
      <c r="AG622" s="430"/>
      <c r="AH622" s="181"/>
      <c r="AI622" s="194">
        <f>IF(COUNTA(SalCommune[[#This Row],[N°]:[heures annuelles
selon contrat(s)]])=0,"",REVEX!$E$9)</f>
        <v>0</v>
      </c>
      <c r="AJ622" s="72" t="str">
        <f>IF(SalCommune[[#This Row],[Allocations fonctions]]="","",IF(ISNA(VLOOKUP(SalCommune[[#This Row],[Allocations fonctions]],DROPDOWN[Dropdown82],1,FALSE))=TRUE,"&lt;-- Veuillez choisir l'allocation parmis la liste déroulante.",""))</f>
        <v/>
      </c>
    </row>
    <row r="623" spans="1:36" x14ac:dyDescent="0.25">
      <c r="A623" s="72" t="str">
        <f>IF(SalCommune[[#This Row],[Statut]]="","",IF(ISNA(VLOOKUP(SalCommune[[#This Row],[Statut]],'Grille communale'!$B$3:$B$5,1,FALSE))=TRUE,"Veuillez choisir le statut parmis la liste déroulante",""))</f>
        <v/>
      </c>
      <c r="B623" s="725" t="str">
        <f>IF(SalCommune[[#This Row],[Matricule]]="","",MAX($B$7:B622)+1)</f>
        <v/>
      </c>
      <c r="C623" s="8"/>
      <c r="D623" s="8"/>
      <c r="E623" s="20"/>
      <c r="F623" s="8"/>
      <c r="G623" s="8"/>
      <c r="H623" s="9"/>
      <c r="I623" s="9"/>
      <c r="J623" s="9"/>
      <c r="K623" s="10"/>
      <c r="L623" s="10"/>
      <c r="M623" s="9"/>
      <c r="N623" s="9"/>
      <c r="O623" s="9"/>
      <c r="P62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3" s="9"/>
      <c r="R623" s="9"/>
      <c r="S623" s="9"/>
      <c r="T623" s="37"/>
      <c r="U623" s="37"/>
      <c r="V623" s="37"/>
      <c r="W623" s="37"/>
      <c r="X623" s="37"/>
      <c r="Y623" s="37"/>
      <c r="Z62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3" s="37"/>
      <c r="AB623" s="66" t="str">
        <f>IF(COUNTA(SalCommune[[#This Row],[Nom]:[heures annuelles
selon contrat(s)]])=0,"",SalCommune[[#This Row],[Total global]]-ABS(SalCommune[[#This Row],[Dont non opposable]]))</f>
        <v/>
      </c>
      <c r="AC623" s="8"/>
      <c r="AD623" s="63"/>
      <c r="AE623" s="430"/>
      <c r="AF623" s="430"/>
      <c r="AG623" s="430"/>
      <c r="AH623" s="181"/>
      <c r="AI623" s="194">
        <f>IF(COUNTA(SalCommune[[#This Row],[N°]:[heures annuelles
selon contrat(s)]])=0,"",REVEX!$E$9)</f>
        <v>0</v>
      </c>
      <c r="AJ623" s="72" t="str">
        <f>IF(SalCommune[[#This Row],[Allocations fonctions]]="","",IF(ISNA(VLOOKUP(SalCommune[[#This Row],[Allocations fonctions]],DROPDOWN[Dropdown82],1,FALSE))=TRUE,"&lt;-- Veuillez choisir l'allocation parmis la liste déroulante.",""))</f>
        <v/>
      </c>
    </row>
    <row r="624" spans="1:36" x14ac:dyDescent="0.25">
      <c r="A624" s="72" t="str">
        <f>IF(SalCommune[[#This Row],[Statut]]="","",IF(ISNA(VLOOKUP(SalCommune[[#This Row],[Statut]],'Grille communale'!$B$3:$B$5,1,FALSE))=TRUE,"Veuillez choisir le statut parmis la liste déroulante",""))</f>
        <v/>
      </c>
      <c r="B624" s="725" t="str">
        <f>IF(SalCommune[[#This Row],[Matricule]]="","",MAX($B$7:B623)+1)</f>
        <v/>
      </c>
      <c r="C624" s="8"/>
      <c r="D624" s="8"/>
      <c r="E624" s="20"/>
      <c r="F624" s="8"/>
      <c r="G624" s="8"/>
      <c r="H624" s="9"/>
      <c r="I624" s="9"/>
      <c r="J624" s="9"/>
      <c r="K624" s="10"/>
      <c r="L624" s="10"/>
      <c r="M624" s="9"/>
      <c r="N624" s="9"/>
      <c r="O624" s="9"/>
      <c r="P62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4" s="9"/>
      <c r="R624" s="9"/>
      <c r="S624" s="9"/>
      <c r="T624" s="37"/>
      <c r="U624" s="37"/>
      <c r="V624" s="37"/>
      <c r="W624" s="37"/>
      <c r="X624" s="37"/>
      <c r="Y624" s="37"/>
      <c r="Z62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4" s="37"/>
      <c r="AB624" s="66" t="str">
        <f>IF(COUNTA(SalCommune[[#This Row],[Nom]:[heures annuelles
selon contrat(s)]])=0,"",SalCommune[[#This Row],[Total global]]-ABS(SalCommune[[#This Row],[Dont non opposable]]))</f>
        <v/>
      </c>
      <c r="AC624" s="8"/>
      <c r="AD624" s="63"/>
      <c r="AE624" s="430"/>
      <c r="AF624" s="430"/>
      <c r="AG624" s="430"/>
      <c r="AH624" s="181"/>
      <c r="AI624" s="194">
        <f>IF(COUNTA(SalCommune[[#This Row],[N°]:[heures annuelles
selon contrat(s)]])=0,"",REVEX!$E$9)</f>
        <v>0</v>
      </c>
      <c r="AJ624" s="72" t="str">
        <f>IF(SalCommune[[#This Row],[Allocations fonctions]]="","",IF(ISNA(VLOOKUP(SalCommune[[#This Row],[Allocations fonctions]],DROPDOWN[Dropdown82],1,FALSE))=TRUE,"&lt;-- Veuillez choisir l'allocation parmis la liste déroulante.",""))</f>
        <v/>
      </c>
    </row>
    <row r="625" spans="1:36" x14ac:dyDescent="0.25">
      <c r="A625" s="72" t="str">
        <f>IF(SalCommune[[#This Row],[Statut]]="","",IF(ISNA(VLOOKUP(SalCommune[[#This Row],[Statut]],'Grille communale'!$B$3:$B$5,1,FALSE))=TRUE,"Veuillez choisir le statut parmis la liste déroulante",""))</f>
        <v/>
      </c>
      <c r="B625" s="725" t="str">
        <f>IF(SalCommune[[#This Row],[Matricule]]="","",MAX($B$7:B624)+1)</f>
        <v/>
      </c>
      <c r="C625" s="8"/>
      <c r="D625" s="8"/>
      <c r="E625" s="20"/>
      <c r="F625" s="8"/>
      <c r="G625" s="8"/>
      <c r="H625" s="9"/>
      <c r="I625" s="9"/>
      <c r="J625" s="9"/>
      <c r="K625" s="10"/>
      <c r="L625" s="10"/>
      <c r="M625" s="9"/>
      <c r="N625" s="9"/>
      <c r="O625" s="9"/>
      <c r="P62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5" s="9"/>
      <c r="R625" s="9"/>
      <c r="S625" s="9"/>
      <c r="T625" s="37"/>
      <c r="U625" s="37"/>
      <c r="V625" s="37"/>
      <c r="W625" s="37"/>
      <c r="X625" s="37"/>
      <c r="Y625" s="37"/>
      <c r="Z62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5" s="37"/>
      <c r="AB625" s="66" t="str">
        <f>IF(COUNTA(SalCommune[[#This Row],[Nom]:[heures annuelles
selon contrat(s)]])=0,"",SalCommune[[#This Row],[Total global]]-ABS(SalCommune[[#This Row],[Dont non opposable]]))</f>
        <v/>
      </c>
      <c r="AC625" s="8"/>
      <c r="AD625" s="63"/>
      <c r="AE625" s="430"/>
      <c r="AF625" s="430"/>
      <c r="AG625" s="430"/>
      <c r="AH625" s="181"/>
      <c r="AI625" s="194">
        <f>IF(COUNTA(SalCommune[[#This Row],[N°]:[heures annuelles
selon contrat(s)]])=0,"",REVEX!$E$9)</f>
        <v>0</v>
      </c>
      <c r="AJ625" s="72" t="str">
        <f>IF(SalCommune[[#This Row],[Allocations fonctions]]="","",IF(ISNA(VLOOKUP(SalCommune[[#This Row],[Allocations fonctions]],DROPDOWN[Dropdown82],1,FALSE))=TRUE,"&lt;-- Veuillez choisir l'allocation parmis la liste déroulante.",""))</f>
        <v/>
      </c>
    </row>
    <row r="626" spans="1:36" x14ac:dyDescent="0.25">
      <c r="A626" s="72" t="str">
        <f>IF(SalCommune[[#This Row],[Statut]]="","",IF(ISNA(VLOOKUP(SalCommune[[#This Row],[Statut]],'Grille communale'!$B$3:$B$5,1,FALSE))=TRUE,"Veuillez choisir le statut parmis la liste déroulante",""))</f>
        <v/>
      </c>
      <c r="B626" s="725" t="str">
        <f>IF(SalCommune[[#This Row],[Matricule]]="","",MAX($B$7:B625)+1)</f>
        <v/>
      </c>
      <c r="C626" s="8"/>
      <c r="D626" s="8"/>
      <c r="E626" s="20"/>
      <c r="F626" s="8"/>
      <c r="G626" s="8"/>
      <c r="H626" s="9"/>
      <c r="I626" s="9"/>
      <c r="J626" s="9"/>
      <c r="K626" s="10"/>
      <c r="L626" s="10"/>
      <c r="M626" s="9"/>
      <c r="N626" s="9"/>
      <c r="O626" s="9"/>
      <c r="P62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6" s="9"/>
      <c r="R626" s="9"/>
      <c r="S626" s="9"/>
      <c r="T626" s="37"/>
      <c r="U626" s="37"/>
      <c r="V626" s="37"/>
      <c r="W626" s="37"/>
      <c r="X626" s="37"/>
      <c r="Y626" s="37"/>
      <c r="Z62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6" s="37"/>
      <c r="AB626" s="66" t="str">
        <f>IF(COUNTA(SalCommune[[#This Row],[Nom]:[heures annuelles
selon contrat(s)]])=0,"",SalCommune[[#This Row],[Total global]]-ABS(SalCommune[[#This Row],[Dont non opposable]]))</f>
        <v/>
      </c>
      <c r="AC626" s="8"/>
      <c r="AD626" s="63"/>
      <c r="AE626" s="430"/>
      <c r="AF626" s="430"/>
      <c r="AG626" s="430"/>
      <c r="AH626" s="181"/>
      <c r="AI626" s="194">
        <f>IF(COUNTA(SalCommune[[#This Row],[N°]:[heures annuelles
selon contrat(s)]])=0,"",REVEX!$E$9)</f>
        <v>0</v>
      </c>
      <c r="AJ626" s="72" t="str">
        <f>IF(SalCommune[[#This Row],[Allocations fonctions]]="","",IF(ISNA(VLOOKUP(SalCommune[[#This Row],[Allocations fonctions]],DROPDOWN[Dropdown82],1,FALSE))=TRUE,"&lt;-- Veuillez choisir l'allocation parmis la liste déroulante.",""))</f>
        <v/>
      </c>
    </row>
    <row r="627" spans="1:36" x14ac:dyDescent="0.25">
      <c r="A627" s="72" t="str">
        <f>IF(SalCommune[[#This Row],[Statut]]="","",IF(ISNA(VLOOKUP(SalCommune[[#This Row],[Statut]],'Grille communale'!$B$3:$B$5,1,FALSE))=TRUE,"Veuillez choisir le statut parmis la liste déroulante",""))</f>
        <v/>
      </c>
      <c r="B627" s="725" t="str">
        <f>IF(SalCommune[[#This Row],[Matricule]]="","",MAX($B$7:B626)+1)</f>
        <v/>
      </c>
      <c r="C627" s="8"/>
      <c r="D627" s="8"/>
      <c r="E627" s="20"/>
      <c r="F627" s="8"/>
      <c r="G627" s="8"/>
      <c r="H627" s="9"/>
      <c r="I627" s="9"/>
      <c r="J627" s="9"/>
      <c r="K627" s="10"/>
      <c r="L627" s="10"/>
      <c r="M627" s="9"/>
      <c r="N627" s="9"/>
      <c r="O627" s="9"/>
      <c r="P62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7" s="9"/>
      <c r="R627" s="9"/>
      <c r="S627" s="9"/>
      <c r="T627" s="37"/>
      <c r="U627" s="37"/>
      <c r="V627" s="37"/>
      <c r="W627" s="37"/>
      <c r="X627" s="37"/>
      <c r="Y627" s="37"/>
      <c r="Z62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7" s="37"/>
      <c r="AB627" s="66" t="str">
        <f>IF(COUNTA(SalCommune[[#This Row],[Nom]:[heures annuelles
selon contrat(s)]])=0,"",SalCommune[[#This Row],[Total global]]-ABS(SalCommune[[#This Row],[Dont non opposable]]))</f>
        <v/>
      </c>
      <c r="AC627" s="8"/>
      <c r="AD627" s="63"/>
      <c r="AE627" s="430"/>
      <c r="AF627" s="430"/>
      <c r="AG627" s="430"/>
      <c r="AH627" s="181"/>
      <c r="AI627" s="194">
        <f>IF(COUNTA(SalCommune[[#This Row],[N°]:[heures annuelles
selon contrat(s)]])=0,"",REVEX!$E$9)</f>
        <v>0</v>
      </c>
      <c r="AJ627" s="72" t="str">
        <f>IF(SalCommune[[#This Row],[Allocations fonctions]]="","",IF(ISNA(VLOOKUP(SalCommune[[#This Row],[Allocations fonctions]],DROPDOWN[Dropdown82],1,FALSE))=TRUE,"&lt;-- Veuillez choisir l'allocation parmis la liste déroulante.",""))</f>
        <v/>
      </c>
    </row>
    <row r="628" spans="1:36" x14ac:dyDescent="0.25">
      <c r="A628" s="72" t="str">
        <f>IF(SalCommune[[#This Row],[Statut]]="","",IF(ISNA(VLOOKUP(SalCommune[[#This Row],[Statut]],'Grille communale'!$B$3:$B$5,1,FALSE))=TRUE,"Veuillez choisir le statut parmis la liste déroulante",""))</f>
        <v/>
      </c>
      <c r="B628" s="725" t="str">
        <f>IF(SalCommune[[#This Row],[Matricule]]="","",MAX($B$7:B627)+1)</f>
        <v/>
      </c>
      <c r="C628" s="8"/>
      <c r="D628" s="8"/>
      <c r="E628" s="20"/>
      <c r="F628" s="8"/>
      <c r="G628" s="8"/>
      <c r="H628" s="9"/>
      <c r="I628" s="9"/>
      <c r="J628" s="9"/>
      <c r="K628" s="10"/>
      <c r="L628" s="10"/>
      <c r="M628" s="9"/>
      <c r="N628" s="9"/>
      <c r="O628" s="9"/>
      <c r="P62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8" s="9"/>
      <c r="R628" s="9"/>
      <c r="S628" s="9"/>
      <c r="T628" s="37"/>
      <c r="U628" s="37"/>
      <c r="V628" s="37"/>
      <c r="W628" s="37"/>
      <c r="X628" s="37"/>
      <c r="Y628" s="37"/>
      <c r="Z62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8" s="37"/>
      <c r="AB628" s="66" t="str">
        <f>IF(COUNTA(SalCommune[[#This Row],[Nom]:[heures annuelles
selon contrat(s)]])=0,"",SalCommune[[#This Row],[Total global]]-ABS(SalCommune[[#This Row],[Dont non opposable]]))</f>
        <v/>
      </c>
      <c r="AC628" s="8"/>
      <c r="AD628" s="63"/>
      <c r="AE628" s="430"/>
      <c r="AF628" s="430"/>
      <c r="AG628" s="430"/>
      <c r="AH628" s="181"/>
      <c r="AI628" s="194">
        <f>IF(COUNTA(SalCommune[[#This Row],[N°]:[heures annuelles
selon contrat(s)]])=0,"",REVEX!$E$9)</f>
        <v>0</v>
      </c>
      <c r="AJ628" s="72" t="str">
        <f>IF(SalCommune[[#This Row],[Allocations fonctions]]="","",IF(ISNA(VLOOKUP(SalCommune[[#This Row],[Allocations fonctions]],DROPDOWN[Dropdown82],1,FALSE))=TRUE,"&lt;-- Veuillez choisir l'allocation parmis la liste déroulante.",""))</f>
        <v/>
      </c>
    </row>
    <row r="629" spans="1:36" x14ac:dyDescent="0.25">
      <c r="A629" s="72" t="str">
        <f>IF(SalCommune[[#This Row],[Statut]]="","",IF(ISNA(VLOOKUP(SalCommune[[#This Row],[Statut]],'Grille communale'!$B$3:$B$5,1,FALSE))=TRUE,"Veuillez choisir le statut parmis la liste déroulante",""))</f>
        <v/>
      </c>
      <c r="B629" s="725" t="str">
        <f>IF(SalCommune[[#This Row],[Matricule]]="","",MAX($B$7:B628)+1)</f>
        <v/>
      </c>
      <c r="C629" s="8"/>
      <c r="D629" s="8"/>
      <c r="E629" s="20"/>
      <c r="F629" s="8"/>
      <c r="G629" s="8"/>
      <c r="H629" s="9"/>
      <c r="I629" s="9"/>
      <c r="J629" s="9"/>
      <c r="K629" s="10"/>
      <c r="L629" s="10"/>
      <c r="M629" s="9"/>
      <c r="N629" s="9"/>
      <c r="O629" s="9"/>
      <c r="P62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29" s="9"/>
      <c r="R629" s="9"/>
      <c r="S629" s="9"/>
      <c r="T629" s="37"/>
      <c r="U629" s="37"/>
      <c r="V629" s="37"/>
      <c r="W629" s="37"/>
      <c r="X629" s="37"/>
      <c r="Y629" s="37"/>
      <c r="Z62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29" s="37"/>
      <c r="AB629" s="66" t="str">
        <f>IF(COUNTA(SalCommune[[#This Row],[Nom]:[heures annuelles
selon contrat(s)]])=0,"",SalCommune[[#This Row],[Total global]]-ABS(SalCommune[[#This Row],[Dont non opposable]]))</f>
        <v/>
      </c>
      <c r="AC629" s="8"/>
      <c r="AD629" s="63"/>
      <c r="AE629" s="430"/>
      <c r="AF629" s="430"/>
      <c r="AG629" s="430"/>
      <c r="AH629" s="181"/>
      <c r="AI629" s="194">
        <f>IF(COUNTA(SalCommune[[#This Row],[N°]:[heures annuelles
selon contrat(s)]])=0,"",REVEX!$E$9)</f>
        <v>0</v>
      </c>
      <c r="AJ629" s="72" t="str">
        <f>IF(SalCommune[[#This Row],[Allocations fonctions]]="","",IF(ISNA(VLOOKUP(SalCommune[[#This Row],[Allocations fonctions]],DROPDOWN[Dropdown82],1,FALSE))=TRUE,"&lt;-- Veuillez choisir l'allocation parmis la liste déroulante.",""))</f>
        <v/>
      </c>
    </row>
    <row r="630" spans="1:36" x14ac:dyDescent="0.25">
      <c r="A630" s="72" t="str">
        <f>IF(SalCommune[[#This Row],[Statut]]="","",IF(ISNA(VLOOKUP(SalCommune[[#This Row],[Statut]],'Grille communale'!$B$3:$B$5,1,FALSE))=TRUE,"Veuillez choisir le statut parmis la liste déroulante",""))</f>
        <v/>
      </c>
      <c r="B630" s="725" t="str">
        <f>IF(SalCommune[[#This Row],[Matricule]]="","",MAX($B$7:B629)+1)</f>
        <v/>
      </c>
      <c r="C630" s="8"/>
      <c r="D630" s="8"/>
      <c r="E630" s="20"/>
      <c r="F630" s="8"/>
      <c r="G630" s="8"/>
      <c r="H630" s="9"/>
      <c r="I630" s="9"/>
      <c r="J630" s="9"/>
      <c r="K630" s="10"/>
      <c r="L630" s="10"/>
      <c r="M630" s="9"/>
      <c r="N630" s="9"/>
      <c r="O630" s="9"/>
      <c r="P63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0" s="9"/>
      <c r="R630" s="9"/>
      <c r="S630" s="9"/>
      <c r="T630" s="37"/>
      <c r="U630" s="37"/>
      <c r="V630" s="37"/>
      <c r="W630" s="37"/>
      <c r="X630" s="37"/>
      <c r="Y630" s="37"/>
      <c r="Z63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0" s="37"/>
      <c r="AB630" s="66" t="str">
        <f>IF(COUNTA(SalCommune[[#This Row],[Nom]:[heures annuelles
selon contrat(s)]])=0,"",SalCommune[[#This Row],[Total global]]-ABS(SalCommune[[#This Row],[Dont non opposable]]))</f>
        <v/>
      </c>
      <c r="AC630" s="8"/>
      <c r="AD630" s="63"/>
      <c r="AE630" s="430"/>
      <c r="AF630" s="430"/>
      <c r="AG630" s="430"/>
      <c r="AH630" s="181"/>
      <c r="AI630" s="194">
        <f>IF(COUNTA(SalCommune[[#This Row],[N°]:[heures annuelles
selon contrat(s)]])=0,"",REVEX!$E$9)</f>
        <v>0</v>
      </c>
      <c r="AJ630" s="72" t="str">
        <f>IF(SalCommune[[#This Row],[Allocations fonctions]]="","",IF(ISNA(VLOOKUP(SalCommune[[#This Row],[Allocations fonctions]],DROPDOWN[Dropdown82],1,FALSE))=TRUE,"&lt;-- Veuillez choisir l'allocation parmis la liste déroulante.",""))</f>
        <v/>
      </c>
    </row>
    <row r="631" spans="1:36" x14ac:dyDescent="0.25">
      <c r="A631" s="72" t="str">
        <f>IF(SalCommune[[#This Row],[Statut]]="","",IF(ISNA(VLOOKUP(SalCommune[[#This Row],[Statut]],'Grille communale'!$B$3:$B$5,1,FALSE))=TRUE,"Veuillez choisir le statut parmis la liste déroulante",""))</f>
        <v/>
      </c>
      <c r="B631" s="725" t="str">
        <f>IF(SalCommune[[#This Row],[Matricule]]="","",MAX($B$7:B630)+1)</f>
        <v/>
      </c>
      <c r="C631" s="8"/>
      <c r="D631" s="8"/>
      <c r="E631" s="20"/>
      <c r="F631" s="8"/>
      <c r="G631" s="8"/>
      <c r="H631" s="9"/>
      <c r="I631" s="9"/>
      <c r="J631" s="9"/>
      <c r="K631" s="10"/>
      <c r="L631" s="10"/>
      <c r="M631" s="9"/>
      <c r="N631" s="9"/>
      <c r="O631" s="9"/>
      <c r="P63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1" s="9"/>
      <c r="R631" s="9"/>
      <c r="S631" s="9"/>
      <c r="T631" s="37"/>
      <c r="U631" s="37"/>
      <c r="V631" s="37"/>
      <c r="W631" s="37"/>
      <c r="X631" s="37"/>
      <c r="Y631" s="37"/>
      <c r="Z63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1" s="37"/>
      <c r="AB631" s="66" t="str">
        <f>IF(COUNTA(SalCommune[[#This Row],[Nom]:[heures annuelles
selon contrat(s)]])=0,"",SalCommune[[#This Row],[Total global]]-ABS(SalCommune[[#This Row],[Dont non opposable]]))</f>
        <v/>
      </c>
      <c r="AC631" s="8"/>
      <c r="AD631" s="63"/>
      <c r="AE631" s="430"/>
      <c r="AF631" s="430"/>
      <c r="AG631" s="430"/>
      <c r="AH631" s="181"/>
      <c r="AI631" s="194">
        <f>IF(COUNTA(SalCommune[[#This Row],[N°]:[heures annuelles
selon contrat(s)]])=0,"",REVEX!$E$9)</f>
        <v>0</v>
      </c>
      <c r="AJ631" s="72" t="str">
        <f>IF(SalCommune[[#This Row],[Allocations fonctions]]="","",IF(ISNA(VLOOKUP(SalCommune[[#This Row],[Allocations fonctions]],DROPDOWN[Dropdown82],1,FALSE))=TRUE,"&lt;-- Veuillez choisir l'allocation parmis la liste déroulante.",""))</f>
        <v/>
      </c>
    </row>
    <row r="632" spans="1:36" x14ac:dyDescent="0.25">
      <c r="A632" s="72" t="str">
        <f>IF(SalCommune[[#This Row],[Statut]]="","",IF(ISNA(VLOOKUP(SalCommune[[#This Row],[Statut]],'Grille communale'!$B$3:$B$5,1,FALSE))=TRUE,"Veuillez choisir le statut parmis la liste déroulante",""))</f>
        <v/>
      </c>
      <c r="B632" s="725" t="str">
        <f>IF(SalCommune[[#This Row],[Matricule]]="","",MAX($B$7:B631)+1)</f>
        <v/>
      </c>
      <c r="C632" s="8"/>
      <c r="D632" s="8"/>
      <c r="E632" s="20"/>
      <c r="F632" s="8"/>
      <c r="G632" s="8"/>
      <c r="H632" s="9"/>
      <c r="I632" s="9"/>
      <c r="J632" s="9"/>
      <c r="K632" s="10"/>
      <c r="L632" s="10"/>
      <c r="M632" s="9"/>
      <c r="N632" s="9"/>
      <c r="O632" s="9"/>
      <c r="P63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2" s="9"/>
      <c r="R632" s="9"/>
      <c r="S632" s="9"/>
      <c r="T632" s="37"/>
      <c r="U632" s="37"/>
      <c r="V632" s="37"/>
      <c r="W632" s="37"/>
      <c r="X632" s="37"/>
      <c r="Y632" s="37"/>
      <c r="Z63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2" s="37"/>
      <c r="AB632" s="66" t="str">
        <f>IF(COUNTA(SalCommune[[#This Row],[Nom]:[heures annuelles
selon contrat(s)]])=0,"",SalCommune[[#This Row],[Total global]]-ABS(SalCommune[[#This Row],[Dont non opposable]]))</f>
        <v/>
      </c>
      <c r="AC632" s="8"/>
      <c r="AD632" s="63"/>
      <c r="AE632" s="430"/>
      <c r="AF632" s="430"/>
      <c r="AG632" s="430"/>
      <c r="AH632" s="181"/>
      <c r="AI632" s="194">
        <f>IF(COUNTA(SalCommune[[#This Row],[N°]:[heures annuelles
selon contrat(s)]])=0,"",REVEX!$E$9)</f>
        <v>0</v>
      </c>
      <c r="AJ632" s="72" t="str">
        <f>IF(SalCommune[[#This Row],[Allocations fonctions]]="","",IF(ISNA(VLOOKUP(SalCommune[[#This Row],[Allocations fonctions]],DROPDOWN[Dropdown82],1,FALSE))=TRUE,"&lt;-- Veuillez choisir l'allocation parmis la liste déroulante.",""))</f>
        <v/>
      </c>
    </row>
    <row r="633" spans="1:36" x14ac:dyDescent="0.25">
      <c r="A633" s="72" t="str">
        <f>IF(SalCommune[[#This Row],[Statut]]="","",IF(ISNA(VLOOKUP(SalCommune[[#This Row],[Statut]],'Grille communale'!$B$3:$B$5,1,FALSE))=TRUE,"Veuillez choisir le statut parmis la liste déroulante",""))</f>
        <v/>
      </c>
      <c r="B633" s="725" t="str">
        <f>IF(SalCommune[[#This Row],[Matricule]]="","",MAX($B$7:B632)+1)</f>
        <v/>
      </c>
      <c r="C633" s="8"/>
      <c r="D633" s="8"/>
      <c r="E633" s="20"/>
      <c r="F633" s="8"/>
      <c r="G633" s="8"/>
      <c r="H633" s="9"/>
      <c r="I633" s="9"/>
      <c r="J633" s="9"/>
      <c r="K633" s="10"/>
      <c r="L633" s="10"/>
      <c r="M633" s="9"/>
      <c r="N633" s="9"/>
      <c r="O633" s="9"/>
      <c r="P63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3" s="9"/>
      <c r="R633" s="9"/>
      <c r="S633" s="9"/>
      <c r="T633" s="37"/>
      <c r="U633" s="37"/>
      <c r="V633" s="37"/>
      <c r="W633" s="37"/>
      <c r="X633" s="37"/>
      <c r="Y633" s="37"/>
      <c r="Z63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3" s="37"/>
      <c r="AB633" s="66" t="str">
        <f>IF(COUNTA(SalCommune[[#This Row],[Nom]:[heures annuelles
selon contrat(s)]])=0,"",SalCommune[[#This Row],[Total global]]-ABS(SalCommune[[#This Row],[Dont non opposable]]))</f>
        <v/>
      </c>
      <c r="AC633" s="8"/>
      <c r="AD633" s="63"/>
      <c r="AE633" s="430"/>
      <c r="AF633" s="430"/>
      <c r="AG633" s="430"/>
      <c r="AH633" s="181"/>
      <c r="AI633" s="194">
        <f>IF(COUNTA(SalCommune[[#This Row],[N°]:[heures annuelles
selon contrat(s)]])=0,"",REVEX!$E$9)</f>
        <v>0</v>
      </c>
      <c r="AJ633" s="72" t="str">
        <f>IF(SalCommune[[#This Row],[Allocations fonctions]]="","",IF(ISNA(VLOOKUP(SalCommune[[#This Row],[Allocations fonctions]],DROPDOWN[Dropdown82],1,FALSE))=TRUE,"&lt;-- Veuillez choisir l'allocation parmis la liste déroulante.",""))</f>
        <v/>
      </c>
    </row>
    <row r="634" spans="1:36" x14ac:dyDescent="0.25">
      <c r="A634" s="72" t="str">
        <f>IF(SalCommune[[#This Row],[Statut]]="","",IF(ISNA(VLOOKUP(SalCommune[[#This Row],[Statut]],'Grille communale'!$B$3:$B$5,1,FALSE))=TRUE,"Veuillez choisir le statut parmis la liste déroulante",""))</f>
        <v/>
      </c>
      <c r="B634" s="725" t="str">
        <f>IF(SalCommune[[#This Row],[Matricule]]="","",MAX($B$7:B633)+1)</f>
        <v/>
      </c>
      <c r="C634" s="8"/>
      <c r="D634" s="8"/>
      <c r="E634" s="20"/>
      <c r="F634" s="8"/>
      <c r="G634" s="8"/>
      <c r="H634" s="9"/>
      <c r="I634" s="9"/>
      <c r="J634" s="9"/>
      <c r="K634" s="10"/>
      <c r="L634" s="10"/>
      <c r="M634" s="9"/>
      <c r="N634" s="9"/>
      <c r="O634" s="9"/>
      <c r="P63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4" s="9"/>
      <c r="R634" s="9"/>
      <c r="S634" s="9"/>
      <c r="T634" s="37"/>
      <c r="U634" s="37"/>
      <c r="V634" s="37"/>
      <c r="W634" s="37"/>
      <c r="X634" s="37"/>
      <c r="Y634" s="37"/>
      <c r="Z63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4" s="37"/>
      <c r="AB634" s="66" t="str">
        <f>IF(COUNTA(SalCommune[[#This Row],[Nom]:[heures annuelles
selon contrat(s)]])=0,"",SalCommune[[#This Row],[Total global]]-ABS(SalCommune[[#This Row],[Dont non opposable]]))</f>
        <v/>
      </c>
      <c r="AC634" s="8"/>
      <c r="AD634" s="63"/>
      <c r="AE634" s="430"/>
      <c r="AF634" s="430"/>
      <c r="AG634" s="430"/>
      <c r="AH634" s="181"/>
      <c r="AI634" s="194">
        <f>IF(COUNTA(SalCommune[[#This Row],[N°]:[heures annuelles
selon contrat(s)]])=0,"",REVEX!$E$9)</f>
        <v>0</v>
      </c>
      <c r="AJ634" s="72" t="str">
        <f>IF(SalCommune[[#This Row],[Allocations fonctions]]="","",IF(ISNA(VLOOKUP(SalCommune[[#This Row],[Allocations fonctions]],DROPDOWN[Dropdown82],1,FALSE))=TRUE,"&lt;-- Veuillez choisir l'allocation parmis la liste déroulante.",""))</f>
        <v/>
      </c>
    </row>
    <row r="635" spans="1:36" x14ac:dyDescent="0.25">
      <c r="A635" s="72" t="str">
        <f>IF(SalCommune[[#This Row],[Statut]]="","",IF(ISNA(VLOOKUP(SalCommune[[#This Row],[Statut]],'Grille communale'!$B$3:$B$5,1,FALSE))=TRUE,"Veuillez choisir le statut parmis la liste déroulante",""))</f>
        <v/>
      </c>
      <c r="B635" s="725" t="str">
        <f>IF(SalCommune[[#This Row],[Matricule]]="","",MAX($B$7:B634)+1)</f>
        <v/>
      </c>
      <c r="C635" s="8"/>
      <c r="D635" s="8"/>
      <c r="E635" s="20"/>
      <c r="F635" s="8"/>
      <c r="G635" s="8"/>
      <c r="H635" s="9"/>
      <c r="I635" s="9"/>
      <c r="J635" s="9"/>
      <c r="K635" s="10"/>
      <c r="L635" s="10"/>
      <c r="M635" s="9"/>
      <c r="N635" s="9"/>
      <c r="O635" s="9"/>
      <c r="P63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5" s="9"/>
      <c r="R635" s="9"/>
      <c r="S635" s="9"/>
      <c r="T635" s="37"/>
      <c r="U635" s="37"/>
      <c r="V635" s="37"/>
      <c r="W635" s="37"/>
      <c r="X635" s="37"/>
      <c r="Y635" s="37"/>
      <c r="Z63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5" s="37"/>
      <c r="AB635" s="66" t="str">
        <f>IF(COUNTA(SalCommune[[#This Row],[Nom]:[heures annuelles
selon contrat(s)]])=0,"",SalCommune[[#This Row],[Total global]]-ABS(SalCommune[[#This Row],[Dont non opposable]]))</f>
        <v/>
      </c>
      <c r="AC635" s="8"/>
      <c r="AD635" s="63"/>
      <c r="AE635" s="430"/>
      <c r="AF635" s="430"/>
      <c r="AG635" s="430"/>
      <c r="AH635" s="181"/>
      <c r="AI635" s="194">
        <f>IF(COUNTA(SalCommune[[#This Row],[N°]:[heures annuelles
selon contrat(s)]])=0,"",REVEX!$E$9)</f>
        <v>0</v>
      </c>
      <c r="AJ635" s="72" t="str">
        <f>IF(SalCommune[[#This Row],[Allocations fonctions]]="","",IF(ISNA(VLOOKUP(SalCommune[[#This Row],[Allocations fonctions]],DROPDOWN[Dropdown82],1,FALSE))=TRUE,"&lt;-- Veuillez choisir l'allocation parmis la liste déroulante.",""))</f>
        <v/>
      </c>
    </row>
    <row r="636" spans="1:36" x14ac:dyDescent="0.25">
      <c r="A636" s="72" t="str">
        <f>IF(SalCommune[[#This Row],[Statut]]="","",IF(ISNA(VLOOKUP(SalCommune[[#This Row],[Statut]],'Grille communale'!$B$3:$B$5,1,FALSE))=TRUE,"Veuillez choisir le statut parmis la liste déroulante",""))</f>
        <v/>
      </c>
      <c r="B636" s="725" t="str">
        <f>IF(SalCommune[[#This Row],[Matricule]]="","",MAX($B$7:B635)+1)</f>
        <v/>
      </c>
      <c r="C636" s="8"/>
      <c r="D636" s="8"/>
      <c r="E636" s="20"/>
      <c r="F636" s="8"/>
      <c r="G636" s="8"/>
      <c r="H636" s="9"/>
      <c r="I636" s="9"/>
      <c r="J636" s="9"/>
      <c r="K636" s="10"/>
      <c r="L636" s="10"/>
      <c r="M636" s="9"/>
      <c r="N636" s="9"/>
      <c r="O636" s="9"/>
      <c r="P63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6" s="9"/>
      <c r="R636" s="9"/>
      <c r="S636" s="9"/>
      <c r="T636" s="37"/>
      <c r="U636" s="37"/>
      <c r="V636" s="37"/>
      <c r="W636" s="37"/>
      <c r="X636" s="37"/>
      <c r="Y636" s="37"/>
      <c r="Z63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6" s="37"/>
      <c r="AB636" s="66" t="str">
        <f>IF(COUNTA(SalCommune[[#This Row],[Nom]:[heures annuelles
selon contrat(s)]])=0,"",SalCommune[[#This Row],[Total global]]-ABS(SalCommune[[#This Row],[Dont non opposable]]))</f>
        <v/>
      </c>
      <c r="AC636" s="8"/>
      <c r="AD636" s="63"/>
      <c r="AE636" s="430"/>
      <c r="AF636" s="430"/>
      <c r="AG636" s="430"/>
      <c r="AH636" s="181"/>
      <c r="AI636" s="194">
        <f>IF(COUNTA(SalCommune[[#This Row],[N°]:[heures annuelles
selon contrat(s)]])=0,"",REVEX!$E$9)</f>
        <v>0</v>
      </c>
      <c r="AJ636" s="72" t="str">
        <f>IF(SalCommune[[#This Row],[Allocations fonctions]]="","",IF(ISNA(VLOOKUP(SalCommune[[#This Row],[Allocations fonctions]],DROPDOWN[Dropdown82],1,FALSE))=TRUE,"&lt;-- Veuillez choisir l'allocation parmis la liste déroulante.",""))</f>
        <v/>
      </c>
    </row>
    <row r="637" spans="1:36" x14ac:dyDescent="0.25">
      <c r="A637" s="72" t="str">
        <f>IF(SalCommune[[#This Row],[Statut]]="","",IF(ISNA(VLOOKUP(SalCommune[[#This Row],[Statut]],'Grille communale'!$B$3:$B$5,1,FALSE))=TRUE,"Veuillez choisir le statut parmis la liste déroulante",""))</f>
        <v/>
      </c>
      <c r="B637" s="725" t="str">
        <f>IF(SalCommune[[#This Row],[Matricule]]="","",MAX($B$7:B636)+1)</f>
        <v/>
      </c>
      <c r="C637" s="8"/>
      <c r="D637" s="8"/>
      <c r="E637" s="20"/>
      <c r="F637" s="8"/>
      <c r="G637" s="8"/>
      <c r="H637" s="9"/>
      <c r="I637" s="9"/>
      <c r="J637" s="9"/>
      <c r="K637" s="10"/>
      <c r="L637" s="10"/>
      <c r="M637" s="9"/>
      <c r="N637" s="9"/>
      <c r="O637" s="9"/>
      <c r="P63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7" s="9"/>
      <c r="R637" s="9"/>
      <c r="S637" s="9"/>
      <c r="T637" s="37"/>
      <c r="U637" s="37"/>
      <c r="V637" s="37"/>
      <c r="W637" s="37"/>
      <c r="X637" s="37"/>
      <c r="Y637" s="37"/>
      <c r="Z63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7" s="37"/>
      <c r="AB637" s="66" t="str">
        <f>IF(COUNTA(SalCommune[[#This Row],[Nom]:[heures annuelles
selon contrat(s)]])=0,"",SalCommune[[#This Row],[Total global]]-ABS(SalCommune[[#This Row],[Dont non opposable]]))</f>
        <v/>
      </c>
      <c r="AC637" s="8"/>
      <c r="AD637" s="63"/>
      <c r="AE637" s="430"/>
      <c r="AF637" s="430"/>
      <c r="AG637" s="430"/>
      <c r="AH637" s="181"/>
      <c r="AI637" s="194">
        <f>IF(COUNTA(SalCommune[[#This Row],[N°]:[heures annuelles
selon contrat(s)]])=0,"",REVEX!$E$9)</f>
        <v>0</v>
      </c>
      <c r="AJ637" s="72" t="str">
        <f>IF(SalCommune[[#This Row],[Allocations fonctions]]="","",IF(ISNA(VLOOKUP(SalCommune[[#This Row],[Allocations fonctions]],DROPDOWN[Dropdown82],1,FALSE))=TRUE,"&lt;-- Veuillez choisir l'allocation parmis la liste déroulante.",""))</f>
        <v/>
      </c>
    </row>
    <row r="638" spans="1:36" x14ac:dyDescent="0.25">
      <c r="A638" s="72" t="str">
        <f>IF(SalCommune[[#This Row],[Statut]]="","",IF(ISNA(VLOOKUP(SalCommune[[#This Row],[Statut]],'Grille communale'!$B$3:$B$5,1,FALSE))=TRUE,"Veuillez choisir le statut parmis la liste déroulante",""))</f>
        <v/>
      </c>
      <c r="B638" s="725" t="str">
        <f>IF(SalCommune[[#This Row],[Matricule]]="","",MAX($B$7:B637)+1)</f>
        <v/>
      </c>
      <c r="C638" s="8"/>
      <c r="D638" s="8"/>
      <c r="E638" s="20"/>
      <c r="F638" s="8"/>
      <c r="G638" s="8"/>
      <c r="H638" s="9"/>
      <c r="I638" s="9"/>
      <c r="J638" s="9"/>
      <c r="K638" s="10"/>
      <c r="L638" s="10"/>
      <c r="M638" s="9"/>
      <c r="N638" s="9"/>
      <c r="O638" s="9"/>
      <c r="P63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8" s="9"/>
      <c r="R638" s="9"/>
      <c r="S638" s="9"/>
      <c r="T638" s="37"/>
      <c r="U638" s="37"/>
      <c r="V638" s="37"/>
      <c r="W638" s="37"/>
      <c r="X638" s="37"/>
      <c r="Y638" s="37"/>
      <c r="Z63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8" s="37"/>
      <c r="AB638" s="66" t="str">
        <f>IF(COUNTA(SalCommune[[#This Row],[Nom]:[heures annuelles
selon contrat(s)]])=0,"",SalCommune[[#This Row],[Total global]]-ABS(SalCommune[[#This Row],[Dont non opposable]]))</f>
        <v/>
      </c>
      <c r="AC638" s="8"/>
      <c r="AD638" s="63"/>
      <c r="AE638" s="430"/>
      <c r="AF638" s="430"/>
      <c r="AG638" s="430"/>
      <c r="AH638" s="181"/>
      <c r="AI638" s="194">
        <f>IF(COUNTA(SalCommune[[#This Row],[N°]:[heures annuelles
selon contrat(s)]])=0,"",REVEX!$E$9)</f>
        <v>0</v>
      </c>
      <c r="AJ638" s="72" t="str">
        <f>IF(SalCommune[[#This Row],[Allocations fonctions]]="","",IF(ISNA(VLOOKUP(SalCommune[[#This Row],[Allocations fonctions]],DROPDOWN[Dropdown82],1,FALSE))=TRUE,"&lt;-- Veuillez choisir l'allocation parmis la liste déroulante.",""))</f>
        <v/>
      </c>
    </row>
    <row r="639" spans="1:36" x14ac:dyDescent="0.25">
      <c r="A639" s="72" t="str">
        <f>IF(SalCommune[[#This Row],[Statut]]="","",IF(ISNA(VLOOKUP(SalCommune[[#This Row],[Statut]],'Grille communale'!$B$3:$B$5,1,FALSE))=TRUE,"Veuillez choisir le statut parmis la liste déroulante",""))</f>
        <v/>
      </c>
      <c r="B639" s="725" t="str">
        <f>IF(SalCommune[[#This Row],[Matricule]]="","",MAX($B$7:B638)+1)</f>
        <v/>
      </c>
      <c r="C639" s="8"/>
      <c r="D639" s="8"/>
      <c r="E639" s="20"/>
      <c r="F639" s="8"/>
      <c r="G639" s="8"/>
      <c r="H639" s="9"/>
      <c r="I639" s="9"/>
      <c r="J639" s="9"/>
      <c r="K639" s="10"/>
      <c r="L639" s="10"/>
      <c r="M639" s="9"/>
      <c r="N639" s="9"/>
      <c r="O639" s="9"/>
      <c r="P63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39" s="9"/>
      <c r="R639" s="9"/>
      <c r="S639" s="9"/>
      <c r="T639" s="37"/>
      <c r="U639" s="37"/>
      <c r="V639" s="37"/>
      <c r="W639" s="37"/>
      <c r="X639" s="37"/>
      <c r="Y639" s="37"/>
      <c r="Z63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39" s="37"/>
      <c r="AB639" s="66" t="str">
        <f>IF(COUNTA(SalCommune[[#This Row],[Nom]:[heures annuelles
selon contrat(s)]])=0,"",SalCommune[[#This Row],[Total global]]-ABS(SalCommune[[#This Row],[Dont non opposable]]))</f>
        <v/>
      </c>
      <c r="AC639" s="8"/>
      <c r="AD639" s="63"/>
      <c r="AE639" s="430"/>
      <c r="AF639" s="430"/>
      <c r="AG639" s="430"/>
      <c r="AH639" s="181"/>
      <c r="AI639" s="194">
        <f>IF(COUNTA(SalCommune[[#This Row],[N°]:[heures annuelles
selon contrat(s)]])=0,"",REVEX!$E$9)</f>
        <v>0</v>
      </c>
      <c r="AJ639" s="72" t="str">
        <f>IF(SalCommune[[#This Row],[Allocations fonctions]]="","",IF(ISNA(VLOOKUP(SalCommune[[#This Row],[Allocations fonctions]],DROPDOWN[Dropdown82],1,FALSE))=TRUE,"&lt;-- Veuillez choisir l'allocation parmis la liste déroulante.",""))</f>
        <v/>
      </c>
    </row>
    <row r="640" spans="1:36" x14ac:dyDescent="0.25">
      <c r="A640" s="72" t="str">
        <f>IF(SalCommune[[#This Row],[Statut]]="","",IF(ISNA(VLOOKUP(SalCommune[[#This Row],[Statut]],'Grille communale'!$B$3:$B$5,1,FALSE))=TRUE,"Veuillez choisir le statut parmis la liste déroulante",""))</f>
        <v/>
      </c>
      <c r="B640" s="725" t="str">
        <f>IF(SalCommune[[#This Row],[Matricule]]="","",MAX($B$7:B639)+1)</f>
        <v/>
      </c>
      <c r="C640" s="8"/>
      <c r="D640" s="8"/>
      <c r="E640" s="20"/>
      <c r="F640" s="8"/>
      <c r="G640" s="8"/>
      <c r="H640" s="9"/>
      <c r="I640" s="9"/>
      <c r="J640" s="9"/>
      <c r="K640" s="10"/>
      <c r="L640" s="10"/>
      <c r="M640" s="9"/>
      <c r="N640" s="9"/>
      <c r="O640" s="9"/>
      <c r="P64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0" s="9"/>
      <c r="R640" s="9"/>
      <c r="S640" s="9"/>
      <c r="T640" s="37"/>
      <c r="U640" s="37"/>
      <c r="V640" s="37"/>
      <c r="W640" s="37"/>
      <c r="X640" s="37"/>
      <c r="Y640" s="37"/>
      <c r="Z64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0" s="37"/>
      <c r="AB640" s="66" t="str">
        <f>IF(COUNTA(SalCommune[[#This Row],[Nom]:[heures annuelles
selon contrat(s)]])=0,"",SalCommune[[#This Row],[Total global]]-ABS(SalCommune[[#This Row],[Dont non opposable]]))</f>
        <v/>
      </c>
      <c r="AC640" s="8"/>
      <c r="AD640" s="63"/>
      <c r="AE640" s="430"/>
      <c r="AF640" s="430"/>
      <c r="AG640" s="430"/>
      <c r="AH640" s="181"/>
      <c r="AI640" s="194">
        <f>IF(COUNTA(SalCommune[[#This Row],[N°]:[heures annuelles
selon contrat(s)]])=0,"",REVEX!$E$9)</f>
        <v>0</v>
      </c>
      <c r="AJ640" s="72" t="str">
        <f>IF(SalCommune[[#This Row],[Allocations fonctions]]="","",IF(ISNA(VLOOKUP(SalCommune[[#This Row],[Allocations fonctions]],DROPDOWN[Dropdown82],1,FALSE))=TRUE,"&lt;-- Veuillez choisir l'allocation parmis la liste déroulante.",""))</f>
        <v/>
      </c>
    </row>
    <row r="641" spans="1:36" x14ac:dyDescent="0.25">
      <c r="A641" s="72" t="str">
        <f>IF(SalCommune[[#This Row],[Statut]]="","",IF(ISNA(VLOOKUP(SalCommune[[#This Row],[Statut]],'Grille communale'!$B$3:$B$5,1,FALSE))=TRUE,"Veuillez choisir le statut parmis la liste déroulante",""))</f>
        <v/>
      </c>
      <c r="B641" s="725" t="str">
        <f>IF(SalCommune[[#This Row],[Matricule]]="","",MAX($B$7:B640)+1)</f>
        <v/>
      </c>
      <c r="C641" s="8"/>
      <c r="D641" s="8"/>
      <c r="E641" s="20"/>
      <c r="F641" s="8"/>
      <c r="G641" s="8"/>
      <c r="H641" s="9"/>
      <c r="I641" s="9"/>
      <c r="J641" s="9"/>
      <c r="K641" s="10"/>
      <c r="L641" s="10"/>
      <c r="M641" s="9"/>
      <c r="N641" s="9"/>
      <c r="O641" s="9"/>
      <c r="P64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1" s="9"/>
      <c r="R641" s="9"/>
      <c r="S641" s="9"/>
      <c r="T641" s="37"/>
      <c r="U641" s="37"/>
      <c r="V641" s="37"/>
      <c r="W641" s="37"/>
      <c r="X641" s="37"/>
      <c r="Y641" s="37"/>
      <c r="Z64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1" s="37"/>
      <c r="AB641" s="66" t="str">
        <f>IF(COUNTA(SalCommune[[#This Row],[Nom]:[heures annuelles
selon contrat(s)]])=0,"",SalCommune[[#This Row],[Total global]]-ABS(SalCommune[[#This Row],[Dont non opposable]]))</f>
        <v/>
      </c>
      <c r="AC641" s="8"/>
      <c r="AD641" s="63"/>
      <c r="AE641" s="430"/>
      <c r="AF641" s="430"/>
      <c r="AG641" s="430"/>
      <c r="AH641" s="181"/>
      <c r="AI641" s="194">
        <f>IF(COUNTA(SalCommune[[#This Row],[N°]:[heures annuelles
selon contrat(s)]])=0,"",REVEX!$E$9)</f>
        <v>0</v>
      </c>
      <c r="AJ641" s="72" t="str">
        <f>IF(SalCommune[[#This Row],[Allocations fonctions]]="","",IF(ISNA(VLOOKUP(SalCommune[[#This Row],[Allocations fonctions]],DROPDOWN[Dropdown82],1,FALSE))=TRUE,"&lt;-- Veuillez choisir l'allocation parmis la liste déroulante.",""))</f>
        <v/>
      </c>
    </row>
    <row r="642" spans="1:36" x14ac:dyDescent="0.25">
      <c r="A642" s="72" t="str">
        <f>IF(SalCommune[[#This Row],[Statut]]="","",IF(ISNA(VLOOKUP(SalCommune[[#This Row],[Statut]],'Grille communale'!$B$3:$B$5,1,FALSE))=TRUE,"Veuillez choisir le statut parmis la liste déroulante",""))</f>
        <v/>
      </c>
      <c r="B642" s="725" t="str">
        <f>IF(SalCommune[[#This Row],[Matricule]]="","",MAX($B$7:B641)+1)</f>
        <v/>
      </c>
      <c r="C642" s="8"/>
      <c r="D642" s="8"/>
      <c r="E642" s="20"/>
      <c r="F642" s="8"/>
      <c r="G642" s="8"/>
      <c r="H642" s="9"/>
      <c r="I642" s="9"/>
      <c r="J642" s="9"/>
      <c r="K642" s="10"/>
      <c r="L642" s="10"/>
      <c r="M642" s="9"/>
      <c r="N642" s="9"/>
      <c r="O642" s="9"/>
      <c r="P64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2" s="9"/>
      <c r="R642" s="9"/>
      <c r="S642" s="9"/>
      <c r="T642" s="37"/>
      <c r="U642" s="37"/>
      <c r="V642" s="37"/>
      <c r="W642" s="37"/>
      <c r="X642" s="37"/>
      <c r="Y642" s="37"/>
      <c r="Z64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2" s="37"/>
      <c r="AB642" s="66" t="str">
        <f>IF(COUNTA(SalCommune[[#This Row],[Nom]:[heures annuelles
selon contrat(s)]])=0,"",SalCommune[[#This Row],[Total global]]-ABS(SalCommune[[#This Row],[Dont non opposable]]))</f>
        <v/>
      </c>
      <c r="AC642" s="8"/>
      <c r="AD642" s="63"/>
      <c r="AE642" s="430"/>
      <c r="AF642" s="430"/>
      <c r="AG642" s="430"/>
      <c r="AH642" s="181"/>
      <c r="AI642" s="194">
        <f>IF(COUNTA(SalCommune[[#This Row],[N°]:[heures annuelles
selon contrat(s)]])=0,"",REVEX!$E$9)</f>
        <v>0</v>
      </c>
      <c r="AJ642" s="72" t="str">
        <f>IF(SalCommune[[#This Row],[Allocations fonctions]]="","",IF(ISNA(VLOOKUP(SalCommune[[#This Row],[Allocations fonctions]],DROPDOWN[Dropdown82],1,FALSE))=TRUE,"&lt;-- Veuillez choisir l'allocation parmis la liste déroulante.",""))</f>
        <v/>
      </c>
    </row>
    <row r="643" spans="1:36" x14ac:dyDescent="0.25">
      <c r="A643" s="72" t="str">
        <f>IF(SalCommune[[#This Row],[Statut]]="","",IF(ISNA(VLOOKUP(SalCommune[[#This Row],[Statut]],'Grille communale'!$B$3:$B$5,1,FALSE))=TRUE,"Veuillez choisir le statut parmis la liste déroulante",""))</f>
        <v/>
      </c>
      <c r="B643" s="725" t="str">
        <f>IF(SalCommune[[#This Row],[Matricule]]="","",MAX($B$7:B642)+1)</f>
        <v/>
      </c>
      <c r="C643" s="8"/>
      <c r="D643" s="8"/>
      <c r="E643" s="20"/>
      <c r="F643" s="8"/>
      <c r="G643" s="8"/>
      <c r="H643" s="9"/>
      <c r="I643" s="9"/>
      <c r="J643" s="9"/>
      <c r="K643" s="10"/>
      <c r="L643" s="10"/>
      <c r="M643" s="9"/>
      <c r="N643" s="9"/>
      <c r="O643" s="9"/>
      <c r="P64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3" s="9"/>
      <c r="R643" s="9"/>
      <c r="S643" s="9"/>
      <c r="T643" s="37"/>
      <c r="U643" s="37"/>
      <c r="V643" s="37"/>
      <c r="W643" s="37"/>
      <c r="X643" s="37"/>
      <c r="Y643" s="37"/>
      <c r="Z64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3" s="37"/>
      <c r="AB643" s="66" t="str">
        <f>IF(COUNTA(SalCommune[[#This Row],[Nom]:[heures annuelles
selon contrat(s)]])=0,"",SalCommune[[#This Row],[Total global]]-ABS(SalCommune[[#This Row],[Dont non opposable]]))</f>
        <v/>
      </c>
      <c r="AC643" s="8"/>
      <c r="AD643" s="63"/>
      <c r="AE643" s="430"/>
      <c r="AF643" s="430"/>
      <c r="AG643" s="430"/>
      <c r="AH643" s="181"/>
      <c r="AI643" s="194">
        <f>IF(COUNTA(SalCommune[[#This Row],[N°]:[heures annuelles
selon contrat(s)]])=0,"",REVEX!$E$9)</f>
        <v>0</v>
      </c>
      <c r="AJ643" s="72" t="str">
        <f>IF(SalCommune[[#This Row],[Allocations fonctions]]="","",IF(ISNA(VLOOKUP(SalCommune[[#This Row],[Allocations fonctions]],DROPDOWN[Dropdown82],1,FALSE))=TRUE,"&lt;-- Veuillez choisir l'allocation parmis la liste déroulante.",""))</f>
        <v/>
      </c>
    </row>
    <row r="644" spans="1:36" x14ac:dyDescent="0.25">
      <c r="A644" s="72" t="str">
        <f>IF(SalCommune[[#This Row],[Statut]]="","",IF(ISNA(VLOOKUP(SalCommune[[#This Row],[Statut]],'Grille communale'!$B$3:$B$5,1,FALSE))=TRUE,"Veuillez choisir le statut parmis la liste déroulante",""))</f>
        <v/>
      </c>
      <c r="B644" s="725" t="str">
        <f>IF(SalCommune[[#This Row],[Matricule]]="","",MAX($B$7:B643)+1)</f>
        <v/>
      </c>
      <c r="C644" s="8"/>
      <c r="D644" s="8"/>
      <c r="E644" s="20"/>
      <c r="F644" s="8"/>
      <c r="G644" s="8"/>
      <c r="H644" s="9"/>
      <c r="I644" s="9"/>
      <c r="J644" s="9"/>
      <c r="K644" s="10"/>
      <c r="L644" s="10"/>
      <c r="M644" s="9"/>
      <c r="N644" s="9"/>
      <c r="O644" s="9"/>
      <c r="P64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4" s="9"/>
      <c r="R644" s="9"/>
      <c r="S644" s="9"/>
      <c r="T644" s="37"/>
      <c r="U644" s="37"/>
      <c r="V644" s="37"/>
      <c r="W644" s="37"/>
      <c r="X644" s="37"/>
      <c r="Y644" s="37"/>
      <c r="Z64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4" s="37"/>
      <c r="AB644" s="66" t="str">
        <f>IF(COUNTA(SalCommune[[#This Row],[Nom]:[heures annuelles
selon contrat(s)]])=0,"",SalCommune[[#This Row],[Total global]]-ABS(SalCommune[[#This Row],[Dont non opposable]]))</f>
        <v/>
      </c>
      <c r="AC644" s="8"/>
      <c r="AD644" s="63"/>
      <c r="AE644" s="430"/>
      <c r="AF644" s="430"/>
      <c r="AG644" s="430"/>
      <c r="AH644" s="181"/>
      <c r="AI644" s="194">
        <f>IF(COUNTA(SalCommune[[#This Row],[N°]:[heures annuelles
selon contrat(s)]])=0,"",REVEX!$E$9)</f>
        <v>0</v>
      </c>
      <c r="AJ644" s="72" t="str">
        <f>IF(SalCommune[[#This Row],[Allocations fonctions]]="","",IF(ISNA(VLOOKUP(SalCommune[[#This Row],[Allocations fonctions]],DROPDOWN[Dropdown82],1,FALSE))=TRUE,"&lt;-- Veuillez choisir l'allocation parmis la liste déroulante.",""))</f>
        <v/>
      </c>
    </row>
    <row r="645" spans="1:36" x14ac:dyDescent="0.25">
      <c r="A645" s="72" t="str">
        <f>IF(SalCommune[[#This Row],[Statut]]="","",IF(ISNA(VLOOKUP(SalCommune[[#This Row],[Statut]],'Grille communale'!$B$3:$B$5,1,FALSE))=TRUE,"Veuillez choisir le statut parmis la liste déroulante",""))</f>
        <v/>
      </c>
      <c r="B645" s="725" t="str">
        <f>IF(SalCommune[[#This Row],[Matricule]]="","",MAX($B$7:B644)+1)</f>
        <v/>
      </c>
      <c r="C645" s="8"/>
      <c r="D645" s="8"/>
      <c r="E645" s="20"/>
      <c r="F645" s="8"/>
      <c r="G645" s="8"/>
      <c r="H645" s="9"/>
      <c r="I645" s="9"/>
      <c r="J645" s="9"/>
      <c r="K645" s="10"/>
      <c r="L645" s="10"/>
      <c r="M645" s="9"/>
      <c r="N645" s="9"/>
      <c r="O645" s="9"/>
      <c r="P64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5" s="9"/>
      <c r="R645" s="9"/>
      <c r="S645" s="9"/>
      <c r="T645" s="37"/>
      <c r="U645" s="37"/>
      <c r="V645" s="37"/>
      <c r="W645" s="37"/>
      <c r="X645" s="37"/>
      <c r="Y645" s="37"/>
      <c r="Z64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5" s="37"/>
      <c r="AB645" s="66" t="str">
        <f>IF(COUNTA(SalCommune[[#This Row],[Nom]:[heures annuelles
selon contrat(s)]])=0,"",SalCommune[[#This Row],[Total global]]-ABS(SalCommune[[#This Row],[Dont non opposable]]))</f>
        <v/>
      </c>
      <c r="AC645" s="8"/>
      <c r="AD645" s="63"/>
      <c r="AE645" s="430"/>
      <c r="AF645" s="430"/>
      <c r="AG645" s="430"/>
      <c r="AH645" s="181"/>
      <c r="AI645" s="194">
        <f>IF(COUNTA(SalCommune[[#This Row],[N°]:[heures annuelles
selon contrat(s)]])=0,"",REVEX!$E$9)</f>
        <v>0</v>
      </c>
      <c r="AJ645" s="72" t="str">
        <f>IF(SalCommune[[#This Row],[Allocations fonctions]]="","",IF(ISNA(VLOOKUP(SalCommune[[#This Row],[Allocations fonctions]],DROPDOWN[Dropdown82],1,FALSE))=TRUE,"&lt;-- Veuillez choisir l'allocation parmis la liste déroulante.",""))</f>
        <v/>
      </c>
    </row>
    <row r="646" spans="1:36" x14ac:dyDescent="0.25">
      <c r="A646" s="72" t="str">
        <f>IF(SalCommune[[#This Row],[Statut]]="","",IF(ISNA(VLOOKUP(SalCommune[[#This Row],[Statut]],'Grille communale'!$B$3:$B$5,1,FALSE))=TRUE,"Veuillez choisir le statut parmis la liste déroulante",""))</f>
        <v/>
      </c>
      <c r="B646" s="725" t="str">
        <f>IF(SalCommune[[#This Row],[Matricule]]="","",MAX($B$7:B645)+1)</f>
        <v/>
      </c>
      <c r="C646" s="8"/>
      <c r="D646" s="8"/>
      <c r="E646" s="20"/>
      <c r="F646" s="8"/>
      <c r="G646" s="8"/>
      <c r="H646" s="9"/>
      <c r="I646" s="9"/>
      <c r="J646" s="9"/>
      <c r="K646" s="10"/>
      <c r="L646" s="10"/>
      <c r="M646" s="9"/>
      <c r="N646" s="9"/>
      <c r="O646" s="9"/>
      <c r="P64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6" s="9"/>
      <c r="R646" s="9"/>
      <c r="S646" s="9"/>
      <c r="T646" s="37"/>
      <c r="U646" s="37"/>
      <c r="V646" s="37"/>
      <c r="W646" s="37"/>
      <c r="X646" s="37"/>
      <c r="Y646" s="37"/>
      <c r="Z64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6" s="37"/>
      <c r="AB646" s="66" t="str">
        <f>IF(COUNTA(SalCommune[[#This Row],[Nom]:[heures annuelles
selon contrat(s)]])=0,"",SalCommune[[#This Row],[Total global]]-ABS(SalCommune[[#This Row],[Dont non opposable]]))</f>
        <v/>
      </c>
      <c r="AC646" s="8"/>
      <c r="AD646" s="63"/>
      <c r="AE646" s="430"/>
      <c r="AF646" s="430"/>
      <c r="AG646" s="430"/>
      <c r="AH646" s="181"/>
      <c r="AI646" s="194">
        <f>IF(COUNTA(SalCommune[[#This Row],[N°]:[heures annuelles
selon contrat(s)]])=0,"",REVEX!$E$9)</f>
        <v>0</v>
      </c>
      <c r="AJ646" s="72" t="str">
        <f>IF(SalCommune[[#This Row],[Allocations fonctions]]="","",IF(ISNA(VLOOKUP(SalCommune[[#This Row],[Allocations fonctions]],DROPDOWN[Dropdown82],1,FALSE))=TRUE,"&lt;-- Veuillez choisir l'allocation parmis la liste déroulante.",""))</f>
        <v/>
      </c>
    </row>
    <row r="647" spans="1:36" x14ac:dyDescent="0.25">
      <c r="A647" s="72" t="str">
        <f>IF(SalCommune[[#This Row],[Statut]]="","",IF(ISNA(VLOOKUP(SalCommune[[#This Row],[Statut]],'Grille communale'!$B$3:$B$5,1,FALSE))=TRUE,"Veuillez choisir le statut parmis la liste déroulante",""))</f>
        <v/>
      </c>
      <c r="B647" s="725" t="str">
        <f>IF(SalCommune[[#This Row],[Matricule]]="","",MAX($B$7:B646)+1)</f>
        <v/>
      </c>
      <c r="C647" s="8"/>
      <c r="D647" s="8"/>
      <c r="E647" s="20"/>
      <c r="F647" s="8"/>
      <c r="G647" s="8"/>
      <c r="H647" s="9"/>
      <c r="I647" s="9"/>
      <c r="J647" s="9"/>
      <c r="K647" s="10"/>
      <c r="L647" s="10"/>
      <c r="M647" s="9"/>
      <c r="N647" s="9"/>
      <c r="O647" s="9"/>
      <c r="P64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7" s="9"/>
      <c r="R647" s="9"/>
      <c r="S647" s="9"/>
      <c r="T647" s="37"/>
      <c r="U647" s="37"/>
      <c r="V647" s="37"/>
      <c r="W647" s="37"/>
      <c r="X647" s="37"/>
      <c r="Y647" s="37"/>
      <c r="Z64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7" s="37"/>
      <c r="AB647" s="66" t="str">
        <f>IF(COUNTA(SalCommune[[#This Row],[Nom]:[heures annuelles
selon contrat(s)]])=0,"",SalCommune[[#This Row],[Total global]]-ABS(SalCommune[[#This Row],[Dont non opposable]]))</f>
        <v/>
      </c>
      <c r="AC647" s="8"/>
      <c r="AD647" s="63"/>
      <c r="AE647" s="430"/>
      <c r="AF647" s="430"/>
      <c r="AG647" s="430"/>
      <c r="AH647" s="181"/>
      <c r="AI647" s="194">
        <f>IF(COUNTA(SalCommune[[#This Row],[N°]:[heures annuelles
selon contrat(s)]])=0,"",REVEX!$E$9)</f>
        <v>0</v>
      </c>
      <c r="AJ647" s="72" t="str">
        <f>IF(SalCommune[[#This Row],[Allocations fonctions]]="","",IF(ISNA(VLOOKUP(SalCommune[[#This Row],[Allocations fonctions]],DROPDOWN[Dropdown82],1,FALSE))=TRUE,"&lt;-- Veuillez choisir l'allocation parmis la liste déroulante.",""))</f>
        <v/>
      </c>
    </row>
    <row r="648" spans="1:36" x14ac:dyDescent="0.25">
      <c r="A648" s="72" t="str">
        <f>IF(SalCommune[[#This Row],[Statut]]="","",IF(ISNA(VLOOKUP(SalCommune[[#This Row],[Statut]],'Grille communale'!$B$3:$B$5,1,FALSE))=TRUE,"Veuillez choisir le statut parmis la liste déroulante",""))</f>
        <v/>
      </c>
      <c r="B648" s="725" t="str">
        <f>IF(SalCommune[[#This Row],[Matricule]]="","",MAX($B$7:B647)+1)</f>
        <v/>
      </c>
      <c r="C648" s="8"/>
      <c r="D648" s="8"/>
      <c r="E648" s="20"/>
      <c r="F648" s="8"/>
      <c r="G648" s="8"/>
      <c r="H648" s="9"/>
      <c r="I648" s="9"/>
      <c r="J648" s="9"/>
      <c r="K648" s="10"/>
      <c r="L648" s="10"/>
      <c r="M648" s="9"/>
      <c r="N648" s="9"/>
      <c r="O648" s="9"/>
      <c r="P64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8" s="9"/>
      <c r="R648" s="9"/>
      <c r="S648" s="9"/>
      <c r="T648" s="37"/>
      <c r="U648" s="37"/>
      <c r="V648" s="37"/>
      <c r="W648" s="37"/>
      <c r="X648" s="37"/>
      <c r="Y648" s="37"/>
      <c r="Z64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8" s="37"/>
      <c r="AB648" s="66" t="str">
        <f>IF(COUNTA(SalCommune[[#This Row],[Nom]:[heures annuelles
selon contrat(s)]])=0,"",SalCommune[[#This Row],[Total global]]-ABS(SalCommune[[#This Row],[Dont non opposable]]))</f>
        <v/>
      </c>
      <c r="AC648" s="8"/>
      <c r="AD648" s="63"/>
      <c r="AE648" s="430"/>
      <c r="AF648" s="430"/>
      <c r="AG648" s="430"/>
      <c r="AH648" s="181"/>
      <c r="AI648" s="194">
        <f>IF(COUNTA(SalCommune[[#This Row],[N°]:[heures annuelles
selon contrat(s)]])=0,"",REVEX!$E$9)</f>
        <v>0</v>
      </c>
      <c r="AJ648" s="72" t="str">
        <f>IF(SalCommune[[#This Row],[Allocations fonctions]]="","",IF(ISNA(VLOOKUP(SalCommune[[#This Row],[Allocations fonctions]],DROPDOWN[Dropdown82],1,FALSE))=TRUE,"&lt;-- Veuillez choisir l'allocation parmis la liste déroulante.",""))</f>
        <v/>
      </c>
    </row>
    <row r="649" spans="1:36" x14ac:dyDescent="0.25">
      <c r="A649" s="72" t="str">
        <f>IF(SalCommune[[#This Row],[Statut]]="","",IF(ISNA(VLOOKUP(SalCommune[[#This Row],[Statut]],'Grille communale'!$B$3:$B$5,1,FALSE))=TRUE,"Veuillez choisir le statut parmis la liste déroulante",""))</f>
        <v/>
      </c>
      <c r="B649" s="725" t="str">
        <f>IF(SalCommune[[#This Row],[Matricule]]="","",MAX($B$7:B648)+1)</f>
        <v/>
      </c>
      <c r="C649" s="8"/>
      <c r="D649" s="8"/>
      <c r="E649" s="20"/>
      <c r="F649" s="8"/>
      <c r="G649" s="8"/>
      <c r="H649" s="9"/>
      <c r="I649" s="9"/>
      <c r="J649" s="9"/>
      <c r="K649" s="10"/>
      <c r="L649" s="10"/>
      <c r="M649" s="9"/>
      <c r="N649" s="9"/>
      <c r="O649" s="9"/>
      <c r="P64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49" s="9"/>
      <c r="R649" s="9"/>
      <c r="S649" s="9"/>
      <c r="T649" s="37"/>
      <c r="U649" s="37"/>
      <c r="V649" s="37"/>
      <c r="W649" s="37"/>
      <c r="X649" s="37"/>
      <c r="Y649" s="37"/>
      <c r="Z64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49" s="37"/>
      <c r="AB649" s="66" t="str">
        <f>IF(COUNTA(SalCommune[[#This Row],[Nom]:[heures annuelles
selon contrat(s)]])=0,"",SalCommune[[#This Row],[Total global]]-ABS(SalCommune[[#This Row],[Dont non opposable]]))</f>
        <v/>
      </c>
      <c r="AC649" s="8"/>
      <c r="AD649" s="63"/>
      <c r="AE649" s="430"/>
      <c r="AF649" s="430"/>
      <c r="AG649" s="430"/>
      <c r="AH649" s="181"/>
      <c r="AI649" s="194">
        <f>IF(COUNTA(SalCommune[[#This Row],[N°]:[heures annuelles
selon contrat(s)]])=0,"",REVEX!$E$9)</f>
        <v>0</v>
      </c>
      <c r="AJ649" s="72" t="str">
        <f>IF(SalCommune[[#This Row],[Allocations fonctions]]="","",IF(ISNA(VLOOKUP(SalCommune[[#This Row],[Allocations fonctions]],DROPDOWN[Dropdown82],1,FALSE))=TRUE,"&lt;-- Veuillez choisir l'allocation parmis la liste déroulante.",""))</f>
        <v/>
      </c>
    </row>
    <row r="650" spans="1:36" x14ac:dyDescent="0.25">
      <c r="A650" s="72" t="str">
        <f>IF(SalCommune[[#This Row],[Statut]]="","",IF(ISNA(VLOOKUP(SalCommune[[#This Row],[Statut]],'Grille communale'!$B$3:$B$5,1,FALSE))=TRUE,"Veuillez choisir le statut parmis la liste déroulante",""))</f>
        <v/>
      </c>
      <c r="B650" s="725" t="str">
        <f>IF(SalCommune[[#This Row],[Matricule]]="","",MAX($B$7:B649)+1)</f>
        <v/>
      </c>
      <c r="C650" s="8"/>
      <c r="D650" s="8"/>
      <c r="E650" s="20"/>
      <c r="F650" s="8"/>
      <c r="G650" s="8"/>
      <c r="H650" s="9"/>
      <c r="I650" s="9"/>
      <c r="J650" s="9"/>
      <c r="K650" s="10"/>
      <c r="L650" s="10"/>
      <c r="M650" s="9"/>
      <c r="N650" s="9"/>
      <c r="O650" s="9"/>
      <c r="P65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0" s="9"/>
      <c r="R650" s="9"/>
      <c r="S650" s="9"/>
      <c r="T650" s="37"/>
      <c r="U650" s="37"/>
      <c r="V650" s="37"/>
      <c r="W650" s="37"/>
      <c r="X650" s="37"/>
      <c r="Y650" s="37"/>
      <c r="Z65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0" s="37"/>
      <c r="AB650" s="66" t="str">
        <f>IF(COUNTA(SalCommune[[#This Row],[Nom]:[heures annuelles
selon contrat(s)]])=0,"",SalCommune[[#This Row],[Total global]]-ABS(SalCommune[[#This Row],[Dont non opposable]]))</f>
        <v/>
      </c>
      <c r="AC650" s="8"/>
      <c r="AD650" s="63"/>
      <c r="AE650" s="430"/>
      <c r="AF650" s="430"/>
      <c r="AG650" s="430"/>
      <c r="AH650" s="181"/>
      <c r="AI650" s="194">
        <f>IF(COUNTA(SalCommune[[#This Row],[N°]:[heures annuelles
selon contrat(s)]])=0,"",REVEX!$E$9)</f>
        <v>0</v>
      </c>
      <c r="AJ650" s="72" t="str">
        <f>IF(SalCommune[[#This Row],[Allocations fonctions]]="","",IF(ISNA(VLOOKUP(SalCommune[[#This Row],[Allocations fonctions]],DROPDOWN[Dropdown82],1,FALSE))=TRUE,"&lt;-- Veuillez choisir l'allocation parmis la liste déroulante.",""))</f>
        <v/>
      </c>
    </row>
    <row r="651" spans="1:36" x14ac:dyDescent="0.25">
      <c r="A651" s="72" t="str">
        <f>IF(SalCommune[[#This Row],[Statut]]="","",IF(ISNA(VLOOKUP(SalCommune[[#This Row],[Statut]],'Grille communale'!$B$3:$B$5,1,FALSE))=TRUE,"Veuillez choisir le statut parmis la liste déroulante",""))</f>
        <v/>
      </c>
      <c r="B651" s="725" t="str">
        <f>IF(SalCommune[[#This Row],[Matricule]]="","",MAX($B$7:B650)+1)</f>
        <v/>
      </c>
      <c r="C651" s="8"/>
      <c r="D651" s="8"/>
      <c r="E651" s="20"/>
      <c r="F651" s="8"/>
      <c r="G651" s="8"/>
      <c r="H651" s="9"/>
      <c r="I651" s="9"/>
      <c r="J651" s="9"/>
      <c r="K651" s="10"/>
      <c r="L651" s="10"/>
      <c r="M651" s="9"/>
      <c r="N651" s="9"/>
      <c r="O651" s="9"/>
      <c r="P65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1" s="9"/>
      <c r="R651" s="9"/>
      <c r="S651" s="9"/>
      <c r="T651" s="37"/>
      <c r="U651" s="37"/>
      <c r="V651" s="37"/>
      <c r="W651" s="37"/>
      <c r="X651" s="37"/>
      <c r="Y651" s="37"/>
      <c r="Z65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1" s="37"/>
      <c r="AB651" s="66" t="str">
        <f>IF(COUNTA(SalCommune[[#This Row],[Nom]:[heures annuelles
selon contrat(s)]])=0,"",SalCommune[[#This Row],[Total global]]-ABS(SalCommune[[#This Row],[Dont non opposable]]))</f>
        <v/>
      </c>
      <c r="AC651" s="8"/>
      <c r="AD651" s="63"/>
      <c r="AE651" s="430"/>
      <c r="AF651" s="430"/>
      <c r="AG651" s="430"/>
      <c r="AH651" s="181"/>
      <c r="AI651" s="194">
        <f>IF(COUNTA(SalCommune[[#This Row],[N°]:[heures annuelles
selon contrat(s)]])=0,"",REVEX!$E$9)</f>
        <v>0</v>
      </c>
      <c r="AJ651" s="72" t="str">
        <f>IF(SalCommune[[#This Row],[Allocations fonctions]]="","",IF(ISNA(VLOOKUP(SalCommune[[#This Row],[Allocations fonctions]],DROPDOWN[Dropdown82],1,FALSE))=TRUE,"&lt;-- Veuillez choisir l'allocation parmis la liste déroulante.",""))</f>
        <v/>
      </c>
    </row>
    <row r="652" spans="1:36" x14ac:dyDescent="0.25">
      <c r="A652" s="72" t="str">
        <f>IF(SalCommune[[#This Row],[Statut]]="","",IF(ISNA(VLOOKUP(SalCommune[[#This Row],[Statut]],'Grille communale'!$B$3:$B$5,1,FALSE))=TRUE,"Veuillez choisir le statut parmis la liste déroulante",""))</f>
        <v/>
      </c>
      <c r="B652" s="725" t="str">
        <f>IF(SalCommune[[#This Row],[Matricule]]="","",MAX($B$7:B651)+1)</f>
        <v/>
      </c>
      <c r="C652" s="8"/>
      <c r="D652" s="8"/>
      <c r="E652" s="20"/>
      <c r="F652" s="8"/>
      <c r="G652" s="8"/>
      <c r="H652" s="9"/>
      <c r="I652" s="9"/>
      <c r="J652" s="9"/>
      <c r="K652" s="10"/>
      <c r="L652" s="10"/>
      <c r="M652" s="9"/>
      <c r="N652" s="9"/>
      <c r="O652" s="9"/>
      <c r="P65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2" s="9"/>
      <c r="R652" s="9"/>
      <c r="S652" s="9"/>
      <c r="T652" s="37"/>
      <c r="U652" s="37"/>
      <c r="V652" s="37"/>
      <c r="W652" s="37"/>
      <c r="X652" s="37"/>
      <c r="Y652" s="37"/>
      <c r="Z65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2" s="37"/>
      <c r="AB652" s="66" t="str">
        <f>IF(COUNTA(SalCommune[[#This Row],[Nom]:[heures annuelles
selon contrat(s)]])=0,"",SalCommune[[#This Row],[Total global]]-ABS(SalCommune[[#This Row],[Dont non opposable]]))</f>
        <v/>
      </c>
      <c r="AC652" s="8"/>
      <c r="AD652" s="63"/>
      <c r="AE652" s="430"/>
      <c r="AF652" s="430"/>
      <c r="AG652" s="430"/>
      <c r="AH652" s="181"/>
      <c r="AI652" s="194">
        <f>IF(COUNTA(SalCommune[[#This Row],[N°]:[heures annuelles
selon contrat(s)]])=0,"",REVEX!$E$9)</f>
        <v>0</v>
      </c>
      <c r="AJ652" s="72" t="str">
        <f>IF(SalCommune[[#This Row],[Allocations fonctions]]="","",IF(ISNA(VLOOKUP(SalCommune[[#This Row],[Allocations fonctions]],DROPDOWN[Dropdown82],1,FALSE))=TRUE,"&lt;-- Veuillez choisir l'allocation parmis la liste déroulante.",""))</f>
        <v/>
      </c>
    </row>
    <row r="653" spans="1:36" x14ac:dyDescent="0.25">
      <c r="A653" s="72" t="str">
        <f>IF(SalCommune[[#This Row],[Statut]]="","",IF(ISNA(VLOOKUP(SalCommune[[#This Row],[Statut]],'Grille communale'!$B$3:$B$5,1,FALSE))=TRUE,"Veuillez choisir le statut parmis la liste déroulante",""))</f>
        <v/>
      </c>
      <c r="B653" s="725" t="str">
        <f>IF(SalCommune[[#This Row],[Matricule]]="","",MAX($B$7:B652)+1)</f>
        <v/>
      </c>
      <c r="C653" s="8"/>
      <c r="D653" s="8"/>
      <c r="E653" s="20"/>
      <c r="F653" s="8"/>
      <c r="G653" s="8"/>
      <c r="H653" s="9"/>
      <c r="I653" s="9"/>
      <c r="J653" s="9"/>
      <c r="K653" s="10"/>
      <c r="L653" s="10"/>
      <c r="M653" s="9"/>
      <c r="N653" s="9"/>
      <c r="O653" s="9"/>
      <c r="P65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3" s="9"/>
      <c r="R653" s="9"/>
      <c r="S653" s="9"/>
      <c r="T653" s="37"/>
      <c r="U653" s="37"/>
      <c r="V653" s="37"/>
      <c r="W653" s="37"/>
      <c r="X653" s="37"/>
      <c r="Y653" s="37"/>
      <c r="Z65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3" s="37"/>
      <c r="AB653" s="66" t="str">
        <f>IF(COUNTA(SalCommune[[#This Row],[Nom]:[heures annuelles
selon contrat(s)]])=0,"",SalCommune[[#This Row],[Total global]]-ABS(SalCommune[[#This Row],[Dont non opposable]]))</f>
        <v/>
      </c>
      <c r="AC653" s="8"/>
      <c r="AD653" s="63"/>
      <c r="AE653" s="430"/>
      <c r="AF653" s="430"/>
      <c r="AG653" s="430"/>
      <c r="AH653" s="181"/>
      <c r="AI653" s="194">
        <f>IF(COUNTA(SalCommune[[#This Row],[N°]:[heures annuelles
selon contrat(s)]])=0,"",REVEX!$E$9)</f>
        <v>0</v>
      </c>
      <c r="AJ653" s="72" t="str">
        <f>IF(SalCommune[[#This Row],[Allocations fonctions]]="","",IF(ISNA(VLOOKUP(SalCommune[[#This Row],[Allocations fonctions]],DROPDOWN[Dropdown82],1,FALSE))=TRUE,"&lt;-- Veuillez choisir l'allocation parmis la liste déroulante.",""))</f>
        <v/>
      </c>
    </row>
    <row r="654" spans="1:36" x14ac:dyDescent="0.25">
      <c r="A654" s="72" t="str">
        <f>IF(SalCommune[[#This Row],[Statut]]="","",IF(ISNA(VLOOKUP(SalCommune[[#This Row],[Statut]],'Grille communale'!$B$3:$B$5,1,FALSE))=TRUE,"Veuillez choisir le statut parmis la liste déroulante",""))</f>
        <v/>
      </c>
      <c r="B654" s="725" t="str">
        <f>IF(SalCommune[[#This Row],[Matricule]]="","",MAX($B$7:B653)+1)</f>
        <v/>
      </c>
      <c r="C654" s="8"/>
      <c r="D654" s="8"/>
      <c r="E654" s="20"/>
      <c r="F654" s="8"/>
      <c r="G654" s="8"/>
      <c r="H654" s="9"/>
      <c r="I654" s="9"/>
      <c r="J654" s="9"/>
      <c r="K654" s="10"/>
      <c r="L654" s="10"/>
      <c r="M654" s="9"/>
      <c r="N654" s="9"/>
      <c r="O654" s="9"/>
      <c r="P65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4" s="9"/>
      <c r="R654" s="9"/>
      <c r="S654" s="9"/>
      <c r="T654" s="37"/>
      <c r="U654" s="37"/>
      <c r="V654" s="37"/>
      <c r="W654" s="37"/>
      <c r="X654" s="37"/>
      <c r="Y654" s="37"/>
      <c r="Z65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4" s="37"/>
      <c r="AB654" s="66" t="str">
        <f>IF(COUNTA(SalCommune[[#This Row],[Nom]:[heures annuelles
selon contrat(s)]])=0,"",SalCommune[[#This Row],[Total global]]-ABS(SalCommune[[#This Row],[Dont non opposable]]))</f>
        <v/>
      </c>
      <c r="AC654" s="8"/>
      <c r="AD654" s="63"/>
      <c r="AE654" s="430"/>
      <c r="AF654" s="430"/>
      <c r="AG654" s="430"/>
      <c r="AH654" s="181"/>
      <c r="AI654" s="194">
        <f>IF(COUNTA(SalCommune[[#This Row],[N°]:[heures annuelles
selon contrat(s)]])=0,"",REVEX!$E$9)</f>
        <v>0</v>
      </c>
      <c r="AJ654" s="72" t="str">
        <f>IF(SalCommune[[#This Row],[Allocations fonctions]]="","",IF(ISNA(VLOOKUP(SalCommune[[#This Row],[Allocations fonctions]],DROPDOWN[Dropdown82],1,FALSE))=TRUE,"&lt;-- Veuillez choisir l'allocation parmis la liste déroulante.",""))</f>
        <v/>
      </c>
    </row>
    <row r="655" spans="1:36" x14ac:dyDescent="0.25">
      <c r="A655" s="72" t="str">
        <f>IF(SalCommune[[#This Row],[Statut]]="","",IF(ISNA(VLOOKUP(SalCommune[[#This Row],[Statut]],'Grille communale'!$B$3:$B$5,1,FALSE))=TRUE,"Veuillez choisir le statut parmis la liste déroulante",""))</f>
        <v/>
      </c>
      <c r="B655" s="725" t="str">
        <f>IF(SalCommune[[#This Row],[Matricule]]="","",MAX($B$7:B654)+1)</f>
        <v/>
      </c>
      <c r="C655" s="8"/>
      <c r="D655" s="8"/>
      <c r="E655" s="20"/>
      <c r="F655" s="8"/>
      <c r="G655" s="8"/>
      <c r="H655" s="9"/>
      <c r="I655" s="9"/>
      <c r="J655" s="9"/>
      <c r="K655" s="10"/>
      <c r="L655" s="10"/>
      <c r="M655" s="9"/>
      <c r="N655" s="9"/>
      <c r="O655" s="9"/>
      <c r="P65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5" s="9"/>
      <c r="R655" s="9"/>
      <c r="S655" s="9"/>
      <c r="T655" s="37"/>
      <c r="U655" s="37"/>
      <c r="V655" s="37"/>
      <c r="W655" s="37"/>
      <c r="X655" s="37"/>
      <c r="Y655" s="37"/>
      <c r="Z65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5" s="37"/>
      <c r="AB655" s="66" t="str">
        <f>IF(COUNTA(SalCommune[[#This Row],[Nom]:[heures annuelles
selon contrat(s)]])=0,"",SalCommune[[#This Row],[Total global]]-ABS(SalCommune[[#This Row],[Dont non opposable]]))</f>
        <v/>
      </c>
      <c r="AC655" s="8"/>
      <c r="AD655" s="63"/>
      <c r="AE655" s="430"/>
      <c r="AF655" s="430"/>
      <c r="AG655" s="430"/>
      <c r="AH655" s="181"/>
      <c r="AI655" s="194">
        <f>IF(COUNTA(SalCommune[[#This Row],[N°]:[heures annuelles
selon contrat(s)]])=0,"",REVEX!$E$9)</f>
        <v>0</v>
      </c>
      <c r="AJ655" s="72" t="str">
        <f>IF(SalCommune[[#This Row],[Allocations fonctions]]="","",IF(ISNA(VLOOKUP(SalCommune[[#This Row],[Allocations fonctions]],DROPDOWN[Dropdown82],1,FALSE))=TRUE,"&lt;-- Veuillez choisir l'allocation parmis la liste déroulante.",""))</f>
        <v/>
      </c>
    </row>
    <row r="656" spans="1:36" x14ac:dyDescent="0.25">
      <c r="A656" s="72" t="str">
        <f>IF(SalCommune[[#This Row],[Statut]]="","",IF(ISNA(VLOOKUP(SalCommune[[#This Row],[Statut]],'Grille communale'!$B$3:$B$5,1,FALSE))=TRUE,"Veuillez choisir le statut parmis la liste déroulante",""))</f>
        <v/>
      </c>
      <c r="B656" s="725" t="str">
        <f>IF(SalCommune[[#This Row],[Matricule]]="","",MAX($B$7:B655)+1)</f>
        <v/>
      </c>
      <c r="C656" s="8"/>
      <c r="D656" s="8"/>
      <c r="E656" s="20"/>
      <c r="F656" s="8"/>
      <c r="G656" s="8"/>
      <c r="H656" s="9"/>
      <c r="I656" s="9"/>
      <c r="J656" s="9"/>
      <c r="K656" s="10"/>
      <c r="L656" s="10"/>
      <c r="M656" s="9"/>
      <c r="N656" s="9"/>
      <c r="O656" s="9"/>
      <c r="P65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6" s="9"/>
      <c r="R656" s="9"/>
      <c r="S656" s="9"/>
      <c r="T656" s="37"/>
      <c r="U656" s="37"/>
      <c r="V656" s="37"/>
      <c r="W656" s="37"/>
      <c r="X656" s="37"/>
      <c r="Y656" s="37"/>
      <c r="Z65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6" s="37"/>
      <c r="AB656" s="66" t="str">
        <f>IF(COUNTA(SalCommune[[#This Row],[Nom]:[heures annuelles
selon contrat(s)]])=0,"",SalCommune[[#This Row],[Total global]]-ABS(SalCommune[[#This Row],[Dont non opposable]]))</f>
        <v/>
      </c>
      <c r="AC656" s="8"/>
      <c r="AD656" s="63"/>
      <c r="AE656" s="430"/>
      <c r="AF656" s="430"/>
      <c r="AG656" s="430"/>
      <c r="AH656" s="181"/>
      <c r="AI656" s="194">
        <f>IF(COUNTA(SalCommune[[#This Row],[N°]:[heures annuelles
selon contrat(s)]])=0,"",REVEX!$E$9)</f>
        <v>0</v>
      </c>
      <c r="AJ656" s="72" t="str">
        <f>IF(SalCommune[[#This Row],[Allocations fonctions]]="","",IF(ISNA(VLOOKUP(SalCommune[[#This Row],[Allocations fonctions]],DROPDOWN[Dropdown82],1,FALSE))=TRUE,"&lt;-- Veuillez choisir l'allocation parmis la liste déroulante.",""))</f>
        <v/>
      </c>
    </row>
    <row r="657" spans="1:36" x14ac:dyDescent="0.25">
      <c r="A657" s="72" t="str">
        <f>IF(SalCommune[[#This Row],[Statut]]="","",IF(ISNA(VLOOKUP(SalCommune[[#This Row],[Statut]],'Grille communale'!$B$3:$B$5,1,FALSE))=TRUE,"Veuillez choisir le statut parmis la liste déroulante",""))</f>
        <v/>
      </c>
      <c r="B657" s="725" t="str">
        <f>IF(SalCommune[[#This Row],[Matricule]]="","",MAX($B$7:B656)+1)</f>
        <v/>
      </c>
      <c r="C657" s="8"/>
      <c r="D657" s="8"/>
      <c r="E657" s="20"/>
      <c r="F657" s="8"/>
      <c r="G657" s="8"/>
      <c r="H657" s="9"/>
      <c r="I657" s="9"/>
      <c r="J657" s="9"/>
      <c r="K657" s="10"/>
      <c r="L657" s="10"/>
      <c r="M657" s="9"/>
      <c r="N657" s="9"/>
      <c r="O657" s="9"/>
      <c r="P65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7" s="9"/>
      <c r="R657" s="9"/>
      <c r="S657" s="9"/>
      <c r="T657" s="37"/>
      <c r="U657" s="37"/>
      <c r="V657" s="37"/>
      <c r="W657" s="37"/>
      <c r="X657" s="37"/>
      <c r="Y657" s="37"/>
      <c r="Z65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7" s="37"/>
      <c r="AB657" s="66" t="str">
        <f>IF(COUNTA(SalCommune[[#This Row],[Nom]:[heures annuelles
selon contrat(s)]])=0,"",SalCommune[[#This Row],[Total global]]-ABS(SalCommune[[#This Row],[Dont non opposable]]))</f>
        <v/>
      </c>
      <c r="AC657" s="8"/>
      <c r="AD657" s="63"/>
      <c r="AE657" s="430"/>
      <c r="AF657" s="430"/>
      <c r="AG657" s="430"/>
      <c r="AH657" s="181"/>
      <c r="AI657" s="194">
        <f>IF(COUNTA(SalCommune[[#This Row],[N°]:[heures annuelles
selon contrat(s)]])=0,"",REVEX!$E$9)</f>
        <v>0</v>
      </c>
      <c r="AJ657" s="72" t="str">
        <f>IF(SalCommune[[#This Row],[Allocations fonctions]]="","",IF(ISNA(VLOOKUP(SalCommune[[#This Row],[Allocations fonctions]],DROPDOWN[Dropdown82],1,FALSE))=TRUE,"&lt;-- Veuillez choisir l'allocation parmis la liste déroulante.",""))</f>
        <v/>
      </c>
    </row>
    <row r="658" spans="1:36" x14ac:dyDescent="0.25">
      <c r="A658" s="72" t="str">
        <f>IF(SalCommune[[#This Row],[Statut]]="","",IF(ISNA(VLOOKUP(SalCommune[[#This Row],[Statut]],'Grille communale'!$B$3:$B$5,1,FALSE))=TRUE,"Veuillez choisir le statut parmis la liste déroulante",""))</f>
        <v/>
      </c>
      <c r="B658" s="725" t="str">
        <f>IF(SalCommune[[#This Row],[Matricule]]="","",MAX($B$7:B657)+1)</f>
        <v/>
      </c>
      <c r="C658" s="8"/>
      <c r="D658" s="8"/>
      <c r="E658" s="20"/>
      <c r="F658" s="8"/>
      <c r="G658" s="8"/>
      <c r="H658" s="9"/>
      <c r="I658" s="9"/>
      <c r="J658" s="9"/>
      <c r="K658" s="10"/>
      <c r="L658" s="10"/>
      <c r="M658" s="9"/>
      <c r="N658" s="9"/>
      <c r="O658" s="9"/>
      <c r="P65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8" s="9"/>
      <c r="R658" s="9"/>
      <c r="S658" s="9"/>
      <c r="T658" s="37"/>
      <c r="U658" s="37"/>
      <c r="V658" s="37"/>
      <c r="W658" s="37"/>
      <c r="X658" s="37"/>
      <c r="Y658" s="37"/>
      <c r="Z65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8" s="37"/>
      <c r="AB658" s="66" t="str">
        <f>IF(COUNTA(SalCommune[[#This Row],[Nom]:[heures annuelles
selon contrat(s)]])=0,"",SalCommune[[#This Row],[Total global]]-ABS(SalCommune[[#This Row],[Dont non opposable]]))</f>
        <v/>
      </c>
      <c r="AC658" s="8"/>
      <c r="AD658" s="63"/>
      <c r="AE658" s="430"/>
      <c r="AF658" s="430"/>
      <c r="AG658" s="430"/>
      <c r="AH658" s="181"/>
      <c r="AI658" s="194">
        <f>IF(COUNTA(SalCommune[[#This Row],[N°]:[heures annuelles
selon contrat(s)]])=0,"",REVEX!$E$9)</f>
        <v>0</v>
      </c>
      <c r="AJ658" s="72" t="str">
        <f>IF(SalCommune[[#This Row],[Allocations fonctions]]="","",IF(ISNA(VLOOKUP(SalCommune[[#This Row],[Allocations fonctions]],DROPDOWN[Dropdown82],1,FALSE))=TRUE,"&lt;-- Veuillez choisir l'allocation parmis la liste déroulante.",""))</f>
        <v/>
      </c>
    </row>
    <row r="659" spans="1:36" x14ac:dyDescent="0.25">
      <c r="A659" s="72" t="str">
        <f>IF(SalCommune[[#This Row],[Statut]]="","",IF(ISNA(VLOOKUP(SalCommune[[#This Row],[Statut]],'Grille communale'!$B$3:$B$5,1,FALSE))=TRUE,"Veuillez choisir le statut parmis la liste déroulante",""))</f>
        <v/>
      </c>
      <c r="B659" s="725" t="str">
        <f>IF(SalCommune[[#This Row],[Matricule]]="","",MAX($B$7:B658)+1)</f>
        <v/>
      </c>
      <c r="C659" s="8"/>
      <c r="D659" s="8"/>
      <c r="E659" s="20"/>
      <c r="F659" s="8"/>
      <c r="G659" s="8"/>
      <c r="H659" s="9"/>
      <c r="I659" s="9"/>
      <c r="J659" s="9"/>
      <c r="K659" s="10"/>
      <c r="L659" s="10"/>
      <c r="M659" s="9"/>
      <c r="N659" s="9"/>
      <c r="O659" s="9"/>
      <c r="P65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59" s="9"/>
      <c r="R659" s="9"/>
      <c r="S659" s="9"/>
      <c r="T659" s="37"/>
      <c r="U659" s="37"/>
      <c r="V659" s="37"/>
      <c r="W659" s="37"/>
      <c r="X659" s="37"/>
      <c r="Y659" s="37"/>
      <c r="Z65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59" s="37"/>
      <c r="AB659" s="66" t="str">
        <f>IF(COUNTA(SalCommune[[#This Row],[Nom]:[heures annuelles
selon contrat(s)]])=0,"",SalCommune[[#This Row],[Total global]]-ABS(SalCommune[[#This Row],[Dont non opposable]]))</f>
        <v/>
      </c>
      <c r="AC659" s="8"/>
      <c r="AD659" s="63"/>
      <c r="AE659" s="430"/>
      <c r="AF659" s="430"/>
      <c r="AG659" s="430"/>
      <c r="AH659" s="181"/>
      <c r="AI659" s="194">
        <f>IF(COUNTA(SalCommune[[#This Row],[N°]:[heures annuelles
selon contrat(s)]])=0,"",REVEX!$E$9)</f>
        <v>0</v>
      </c>
      <c r="AJ659" s="72" t="str">
        <f>IF(SalCommune[[#This Row],[Allocations fonctions]]="","",IF(ISNA(VLOOKUP(SalCommune[[#This Row],[Allocations fonctions]],DROPDOWN[Dropdown82],1,FALSE))=TRUE,"&lt;-- Veuillez choisir l'allocation parmis la liste déroulante.",""))</f>
        <v/>
      </c>
    </row>
    <row r="660" spans="1:36" x14ac:dyDescent="0.25">
      <c r="A660" s="72" t="str">
        <f>IF(SalCommune[[#This Row],[Statut]]="","",IF(ISNA(VLOOKUP(SalCommune[[#This Row],[Statut]],'Grille communale'!$B$3:$B$5,1,FALSE))=TRUE,"Veuillez choisir le statut parmis la liste déroulante",""))</f>
        <v/>
      </c>
      <c r="B660" s="725" t="str">
        <f>IF(SalCommune[[#This Row],[Matricule]]="","",MAX($B$7:B659)+1)</f>
        <v/>
      </c>
      <c r="C660" s="8"/>
      <c r="D660" s="8"/>
      <c r="E660" s="20"/>
      <c r="F660" s="8"/>
      <c r="G660" s="8"/>
      <c r="H660" s="9"/>
      <c r="I660" s="9"/>
      <c r="J660" s="9"/>
      <c r="K660" s="10"/>
      <c r="L660" s="10"/>
      <c r="M660" s="9"/>
      <c r="N660" s="9"/>
      <c r="O660" s="9"/>
      <c r="P66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0" s="9"/>
      <c r="R660" s="9"/>
      <c r="S660" s="9"/>
      <c r="T660" s="37"/>
      <c r="U660" s="37"/>
      <c r="V660" s="37"/>
      <c r="W660" s="37"/>
      <c r="X660" s="37"/>
      <c r="Y660" s="37"/>
      <c r="Z66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0" s="37"/>
      <c r="AB660" s="66" t="str">
        <f>IF(COUNTA(SalCommune[[#This Row],[Nom]:[heures annuelles
selon contrat(s)]])=0,"",SalCommune[[#This Row],[Total global]]-ABS(SalCommune[[#This Row],[Dont non opposable]]))</f>
        <v/>
      </c>
      <c r="AC660" s="8"/>
      <c r="AD660" s="63"/>
      <c r="AE660" s="430"/>
      <c r="AF660" s="430"/>
      <c r="AG660" s="430"/>
      <c r="AH660" s="181"/>
      <c r="AI660" s="194">
        <f>IF(COUNTA(SalCommune[[#This Row],[N°]:[heures annuelles
selon contrat(s)]])=0,"",REVEX!$E$9)</f>
        <v>0</v>
      </c>
      <c r="AJ660" s="72" t="str">
        <f>IF(SalCommune[[#This Row],[Allocations fonctions]]="","",IF(ISNA(VLOOKUP(SalCommune[[#This Row],[Allocations fonctions]],DROPDOWN[Dropdown82],1,FALSE))=TRUE,"&lt;-- Veuillez choisir l'allocation parmis la liste déroulante.",""))</f>
        <v/>
      </c>
    </row>
    <row r="661" spans="1:36" x14ac:dyDescent="0.25">
      <c r="A661" s="72" t="str">
        <f>IF(SalCommune[[#This Row],[Statut]]="","",IF(ISNA(VLOOKUP(SalCommune[[#This Row],[Statut]],'Grille communale'!$B$3:$B$5,1,FALSE))=TRUE,"Veuillez choisir le statut parmis la liste déroulante",""))</f>
        <v/>
      </c>
      <c r="B661" s="725" t="str">
        <f>IF(SalCommune[[#This Row],[Matricule]]="","",MAX($B$7:B660)+1)</f>
        <v/>
      </c>
      <c r="C661" s="8"/>
      <c r="D661" s="8"/>
      <c r="E661" s="20"/>
      <c r="F661" s="8"/>
      <c r="G661" s="8"/>
      <c r="H661" s="9"/>
      <c r="I661" s="9"/>
      <c r="J661" s="9"/>
      <c r="K661" s="10"/>
      <c r="L661" s="10"/>
      <c r="M661" s="9"/>
      <c r="N661" s="9"/>
      <c r="O661" s="9"/>
      <c r="P66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1" s="9"/>
      <c r="R661" s="9"/>
      <c r="S661" s="9"/>
      <c r="T661" s="37"/>
      <c r="U661" s="37"/>
      <c r="V661" s="37"/>
      <c r="W661" s="37"/>
      <c r="X661" s="37"/>
      <c r="Y661" s="37"/>
      <c r="Z66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1" s="37"/>
      <c r="AB661" s="66" t="str">
        <f>IF(COUNTA(SalCommune[[#This Row],[Nom]:[heures annuelles
selon contrat(s)]])=0,"",SalCommune[[#This Row],[Total global]]-ABS(SalCommune[[#This Row],[Dont non opposable]]))</f>
        <v/>
      </c>
      <c r="AC661" s="8"/>
      <c r="AD661" s="63"/>
      <c r="AE661" s="430"/>
      <c r="AF661" s="430"/>
      <c r="AG661" s="430"/>
      <c r="AH661" s="181"/>
      <c r="AI661" s="194">
        <f>IF(COUNTA(SalCommune[[#This Row],[N°]:[heures annuelles
selon contrat(s)]])=0,"",REVEX!$E$9)</f>
        <v>0</v>
      </c>
      <c r="AJ661" s="72" t="str">
        <f>IF(SalCommune[[#This Row],[Allocations fonctions]]="","",IF(ISNA(VLOOKUP(SalCommune[[#This Row],[Allocations fonctions]],DROPDOWN[Dropdown82],1,FALSE))=TRUE,"&lt;-- Veuillez choisir l'allocation parmis la liste déroulante.",""))</f>
        <v/>
      </c>
    </row>
    <row r="662" spans="1:36" x14ac:dyDescent="0.25">
      <c r="A662" s="72" t="str">
        <f>IF(SalCommune[[#This Row],[Statut]]="","",IF(ISNA(VLOOKUP(SalCommune[[#This Row],[Statut]],'Grille communale'!$B$3:$B$5,1,FALSE))=TRUE,"Veuillez choisir le statut parmis la liste déroulante",""))</f>
        <v/>
      </c>
      <c r="B662" s="725" t="str">
        <f>IF(SalCommune[[#This Row],[Matricule]]="","",MAX($B$7:B661)+1)</f>
        <v/>
      </c>
      <c r="C662" s="8"/>
      <c r="D662" s="8"/>
      <c r="E662" s="20"/>
      <c r="F662" s="8"/>
      <c r="G662" s="8"/>
      <c r="H662" s="9"/>
      <c r="I662" s="9"/>
      <c r="J662" s="9"/>
      <c r="K662" s="10"/>
      <c r="L662" s="10"/>
      <c r="M662" s="9"/>
      <c r="N662" s="9"/>
      <c r="O662" s="9"/>
      <c r="P66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2" s="9"/>
      <c r="R662" s="9"/>
      <c r="S662" s="9"/>
      <c r="T662" s="37"/>
      <c r="U662" s="37"/>
      <c r="V662" s="37"/>
      <c r="W662" s="37"/>
      <c r="X662" s="37"/>
      <c r="Y662" s="37"/>
      <c r="Z66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2" s="37"/>
      <c r="AB662" s="66" t="str">
        <f>IF(COUNTA(SalCommune[[#This Row],[Nom]:[heures annuelles
selon contrat(s)]])=0,"",SalCommune[[#This Row],[Total global]]-ABS(SalCommune[[#This Row],[Dont non opposable]]))</f>
        <v/>
      </c>
      <c r="AC662" s="8"/>
      <c r="AD662" s="63"/>
      <c r="AE662" s="430"/>
      <c r="AF662" s="430"/>
      <c r="AG662" s="430"/>
      <c r="AH662" s="181"/>
      <c r="AI662" s="194">
        <f>IF(COUNTA(SalCommune[[#This Row],[N°]:[heures annuelles
selon contrat(s)]])=0,"",REVEX!$E$9)</f>
        <v>0</v>
      </c>
      <c r="AJ662" s="72" t="str">
        <f>IF(SalCommune[[#This Row],[Allocations fonctions]]="","",IF(ISNA(VLOOKUP(SalCommune[[#This Row],[Allocations fonctions]],DROPDOWN[Dropdown82],1,FALSE))=TRUE,"&lt;-- Veuillez choisir l'allocation parmis la liste déroulante.",""))</f>
        <v/>
      </c>
    </row>
    <row r="663" spans="1:36" x14ac:dyDescent="0.25">
      <c r="A663" s="72" t="str">
        <f>IF(SalCommune[[#This Row],[Statut]]="","",IF(ISNA(VLOOKUP(SalCommune[[#This Row],[Statut]],'Grille communale'!$B$3:$B$5,1,FALSE))=TRUE,"Veuillez choisir le statut parmis la liste déroulante",""))</f>
        <v/>
      </c>
      <c r="B663" s="725" t="str">
        <f>IF(SalCommune[[#This Row],[Matricule]]="","",MAX($B$7:B662)+1)</f>
        <v/>
      </c>
      <c r="C663" s="8"/>
      <c r="D663" s="8"/>
      <c r="E663" s="20"/>
      <c r="F663" s="8"/>
      <c r="G663" s="8"/>
      <c r="H663" s="9"/>
      <c r="I663" s="9"/>
      <c r="J663" s="9"/>
      <c r="K663" s="10"/>
      <c r="L663" s="10"/>
      <c r="M663" s="9"/>
      <c r="N663" s="9"/>
      <c r="O663" s="9"/>
      <c r="P66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3" s="9"/>
      <c r="R663" s="9"/>
      <c r="S663" s="9"/>
      <c r="T663" s="37"/>
      <c r="U663" s="37"/>
      <c r="V663" s="37"/>
      <c r="W663" s="37"/>
      <c r="X663" s="37"/>
      <c r="Y663" s="37"/>
      <c r="Z66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3" s="37"/>
      <c r="AB663" s="66" t="str">
        <f>IF(COUNTA(SalCommune[[#This Row],[Nom]:[heures annuelles
selon contrat(s)]])=0,"",SalCommune[[#This Row],[Total global]]-ABS(SalCommune[[#This Row],[Dont non opposable]]))</f>
        <v/>
      </c>
      <c r="AC663" s="8"/>
      <c r="AD663" s="63"/>
      <c r="AE663" s="430"/>
      <c r="AF663" s="430"/>
      <c r="AG663" s="430"/>
      <c r="AH663" s="181"/>
      <c r="AI663" s="194">
        <f>IF(COUNTA(SalCommune[[#This Row],[N°]:[heures annuelles
selon contrat(s)]])=0,"",REVEX!$E$9)</f>
        <v>0</v>
      </c>
      <c r="AJ663" s="72" t="str">
        <f>IF(SalCommune[[#This Row],[Allocations fonctions]]="","",IF(ISNA(VLOOKUP(SalCommune[[#This Row],[Allocations fonctions]],DROPDOWN[Dropdown82],1,FALSE))=TRUE,"&lt;-- Veuillez choisir l'allocation parmis la liste déroulante.",""))</f>
        <v/>
      </c>
    </row>
    <row r="664" spans="1:36" x14ac:dyDescent="0.25">
      <c r="A664" s="72" t="str">
        <f>IF(SalCommune[[#This Row],[Statut]]="","",IF(ISNA(VLOOKUP(SalCommune[[#This Row],[Statut]],'Grille communale'!$B$3:$B$5,1,FALSE))=TRUE,"Veuillez choisir le statut parmis la liste déroulante",""))</f>
        <v/>
      </c>
      <c r="B664" s="725" t="str">
        <f>IF(SalCommune[[#This Row],[Matricule]]="","",MAX($B$7:B663)+1)</f>
        <v/>
      </c>
      <c r="C664" s="8"/>
      <c r="D664" s="8"/>
      <c r="E664" s="20"/>
      <c r="F664" s="8"/>
      <c r="G664" s="8"/>
      <c r="H664" s="9"/>
      <c r="I664" s="9"/>
      <c r="J664" s="9"/>
      <c r="K664" s="10"/>
      <c r="L664" s="10"/>
      <c r="M664" s="9"/>
      <c r="N664" s="9"/>
      <c r="O664" s="9"/>
      <c r="P66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4" s="9"/>
      <c r="R664" s="9"/>
      <c r="S664" s="9"/>
      <c r="T664" s="37"/>
      <c r="U664" s="37"/>
      <c r="V664" s="37"/>
      <c r="W664" s="37"/>
      <c r="X664" s="37"/>
      <c r="Y664" s="37"/>
      <c r="Z66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4" s="37"/>
      <c r="AB664" s="66" t="str">
        <f>IF(COUNTA(SalCommune[[#This Row],[Nom]:[heures annuelles
selon contrat(s)]])=0,"",SalCommune[[#This Row],[Total global]]-ABS(SalCommune[[#This Row],[Dont non opposable]]))</f>
        <v/>
      </c>
      <c r="AC664" s="8"/>
      <c r="AD664" s="63"/>
      <c r="AE664" s="430"/>
      <c r="AF664" s="430"/>
      <c r="AG664" s="430"/>
      <c r="AH664" s="181"/>
      <c r="AI664" s="194">
        <f>IF(COUNTA(SalCommune[[#This Row],[N°]:[heures annuelles
selon contrat(s)]])=0,"",REVEX!$E$9)</f>
        <v>0</v>
      </c>
      <c r="AJ664" s="72" t="str">
        <f>IF(SalCommune[[#This Row],[Allocations fonctions]]="","",IF(ISNA(VLOOKUP(SalCommune[[#This Row],[Allocations fonctions]],DROPDOWN[Dropdown82],1,FALSE))=TRUE,"&lt;-- Veuillez choisir l'allocation parmis la liste déroulante.",""))</f>
        <v/>
      </c>
    </row>
    <row r="665" spans="1:36" x14ac:dyDescent="0.25">
      <c r="A665" s="72" t="str">
        <f>IF(SalCommune[[#This Row],[Statut]]="","",IF(ISNA(VLOOKUP(SalCommune[[#This Row],[Statut]],'Grille communale'!$B$3:$B$5,1,FALSE))=TRUE,"Veuillez choisir le statut parmis la liste déroulante",""))</f>
        <v/>
      </c>
      <c r="B665" s="725" t="str">
        <f>IF(SalCommune[[#This Row],[Matricule]]="","",MAX($B$7:B664)+1)</f>
        <v/>
      </c>
      <c r="C665" s="8"/>
      <c r="D665" s="8"/>
      <c r="E665" s="20"/>
      <c r="F665" s="8"/>
      <c r="G665" s="8"/>
      <c r="H665" s="9"/>
      <c r="I665" s="9"/>
      <c r="J665" s="9"/>
      <c r="K665" s="10"/>
      <c r="L665" s="10"/>
      <c r="M665" s="9"/>
      <c r="N665" s="9"/>
      <c r="O665" s="9"/>
      <c r="P66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5" s="9"/>
      <c r="R665" s="9"/>
      <c r="S665" s="9"/>
      <c r="T665" s="37"/>
      <c r="U665" s="37"/>
      <c r="V665" s="37"/>
      <c r="W665" s="37"/>
      <c r="X665" s="37"/>
      <c r="Y665" s="37"/>
      <c r="Z66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5" s="37"/>
      <c r="AB665" s="66" t="str">
        <f>IF(COUNTA(SalCommune[[#This Row],[Nom]:[heures annuelles
selon contrat(s)]])=0,"",SalCommune[[#This Row],[Total global]]-ABS(SalCommune[[#This Row],[Dont non opposable]]))</f>
        <v/>
      </c>
      <c r="AC665" s="8"/>
      <c r="AD665" s="63"/>
      <c r="AE665" s="430"/>
      <c r="AF665" s="430"/>
      <c r="AG665" s="430"/>
      <c r="AH665" s="181"/>
      <c r="AI665" s="194">
        <f>IF(COUNTA(SalCommune[[#This Row],[N°]:[heures annuelles
selon contrat(s)]])=0,"",REVEX!$E$9)</f>
        <v>0</v>
      </c>
      <c r="AJ665" s="72" t="str">
        <f>IF(SalCommune[[#This Row],[Allocations fonctions]]="","",IF(ISNA(VLOOKUP(SalCommune[[#This Row],[Allocations fonctions]],DROPDOWN[Dropdown82],1,FALSE))=TRUE,"&lt;-- Veuillez choisir l'allocation parmis la liste déroulante.",""))</f>
        <v/>
      </c>
    </row>
    <row r="666" spans="1:36" x14ac:dyDescent="0.25">
      <c r="A666" s="72" t="str">
        <f>IF(SalCommune[[#This Row],[Statut]]="","",IF(ISNA(VLOOKUP(SalCommune[[#This Row],[Statut]],'Grille communale'!$B$3:$B$5,1,FALSE))=TRUE,"Veuillez choisir le statut parmis la liste déroulante",""))</f>
        <v/>
      </c>
      <c r="B666" s="725" t="str">
        <f>IF(SalCommune[[#This Row],[Matricule]]="","",MAX($B$7:B665)+1)</f>
        <v/>
      </c>
      <c r="C666" s="8"/>
      <c r="D666" s="8"/>
      <c r="E666" s="20"/>
      <c r="F666" s="8"/>
      <c r="G666" s="8"/>
      <c r="H666" s="9"/>
      <c r="I666" s="9"/>
      <c r="J666" s="9"/>
      <c r="K666" s="10"/>
      <c r="L666" s="10"/>
      <c r="M666" s="9"/>
      <c r="N666" s="9"/>
      <c r="O666" s="9"/>
      <c r="P66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6" s="9"/>
      <c r="R666" s="9"/>
      <c r="S666" s="9"/>
      <c r="T666" s="37"/>
      <c r="U666" s="37"/>
      <c r="V666" s="37"/>
      <c r="W666" s="37"/>
      <c r="X666" s="37"/>
      <c r="Y666" s="37"/>
      <c r="Z66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6" s="37"/>
      <c r="AB666" s="66" t="str">
        <f>IF(COUNTA(SalCommune[[#This Row],[Nom]:[heures annuelles
selon contrat(s)]])=0,"",SalCommune[[#This Row],[Total global]]-ABS(SalCommune[[#This Row],[Dont non opposable]]))</f>
        <v/>
      </c>
      <c r="AC666" s="8"/>
      <c r="AD666" s="63"/>
      <c r="AE666" s="430"/>
      <c r="AF666" s="430"/>
      <c r="AG666" s="430"/>
      <c r="AH666" s="181"/>
      <c r="AI666" s="194">
        <f>IF(COUNTA(SalCommune[[#This Row],[N°]:[heures annuelles
selon contrat(s)]])=0,"",REVEX!$E$9)</f>
        <v>0</v>
      </c>
      <c r="AJ666" s="72" t="str">
        <f>IF(SalCommune[[#This Row],[Allocations fonctions]]="","",IF(ISNA(VLOOKUP(SalCommune[[#This Row],[Allocations fonctions]],DROPDOWN[Dropdown82],1,FALSE))=TRUE,"&lt;-- Veuillez choisir l'allocation parmis la liste déroulante.",""))</f>
        <v/>
      </c>
    </row>
    <row r="667" spans="1:36" x14ac:dyDescent="0.25">
      <c r="A667" s="72" t="str">
        <f>IF(SalCommune[[#This Row],[Statut]]="","",IF(ISNA(VLOOKUP(SalCommune[[#This Row],[Statut]],'Grille communale'!$B$3:$B$5,1,FALSE))=TRUE,"Veuillez choisir le statut parmis la liste déroulante",""))</f>
        <v/>
      </c>
      <c r="B667" s="725" t="str">
        <f>IF(SalCommune[[#This Row],[Matricule]]="","",MAX($B$7:B666)+1)</f>
        <v/>
      </c>
      <c r="C667" s="8"/>
      <c r="D667" s="8"/>
      <c r="E667" s="20"/>
      <c r="F667" s="8"/>
      <c r="G667" s="8"/>
      <c r="H667" s="9"/>
      <c r="I667" s="9"/>
      <c r="J667" s="9"/>
      <c r="K667" s="10"/>
      <c r="L667" s="10"/>
      <c r="M667" s="9"/>
      <c r="N667" s="9"/>
      <c r="O667" s="9"/>
      <c r="P66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7" s="9"/>
      <c r="R667" s="9"/>
      <c r="S667" s="9"/>
      <c r="T667" s="37"/>
      <c r="U667" s="37"/>
      <c r="V667" s="37"/>
      <c r="W667" s="37"/>
      <c r="X667" s="37"/>
      <c r="Y667" s="37"/>
      <c r="Z66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7" s="37"/>
      <c r="AB667" s="66" t="str">
        <f>IF(COUNTA(SalCommune[[#This Row],[Nom]:[heures annuelles
selon contrat(s)]])=0,"",SalCommune[[#This Row],[Total global]]-ABS(SalCommune[[#This Row],[Dont non opposable]]))</f>
        <v/>
      </c>
      <c r="AC667" s="8"/>
      <c r="AD667" s="63"/>
      <c r="AE667" s="430"/>
      <c r="AF667" s="430"/>
      <c r="AG667" s="430"/>
      <c r="AH667" s="181"/>
      <c r="AI667" s="194">
        <f>IF(COUNTA(SalCommune[[#This Row],[N°]:[heures annuelles
selon contrat(s)]])=0,"",REVEX!$E$9)</f>
        <v>0</v>
      </c>
      <c r="AJ667" s="72" t="str">
        <f>IF(SalCommune[[#This Row],[Allocations fonctions]]="","",IF(ISNA(VLOOKUP(SalCommune[[#This Row],[Allocations fonctions]],DROPDOWN[Dropdown82],1,FALSE))=TRUE,"&lt;-- Veuillez choisir l'allocation parmis la liste déroulante.",""))</f>
        <v/>
      </c>
    </row>
    <row r="668" spans="1:36" x14ac:dyDescent="0.25">
      <c r="A668" s="72" t="str">
        <f>IF(SalCommune[[#This Row],[Statut]]="","",IF(ISNA(VLOOKUP(SalCommune[[#This Row],[Statut]],'Grille communale'!$B$3:$B$5,1,FALSE))=TRUE,"Veuillez choisir le statut parmis la liste déroulante",""))</f>
        <v/>
      </c>
      <c r="B668" s="725" t="str">
        <f>IF(SalCommune[[#This Row],[Matricule]]="","",MAX($B$7:B667)+1)</f>
        <v/>
      </c>
      <c r="C668" s="8"/>
      <c r="D668" s="8"/>
      <c r="E668" s="20"/>
      <c r="F668" s="8"/>
      <c r="G668" s="8"/>
      <c r="H668" s="9"/>
      <c r="I668" s="9"/>
      <c r="J668" s="9"/>
      <c r="K668" s="10"/>
      <c r="L668" s="10"/>
      <c r="M668" s="9"/>
      <c r="N668" s="9"/>
      <c r="O668" s="9"/>
      <c r="P66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8" s="9"/>
      <c r="R668" s="9"/>
      <c r="S668" s="9"/>
      <c r="T668" s="37"/>
      <c r="U668" s="37"/>
      <c r="V668" s="37"/>
      <c r="W668" s="37"/>
      <c r="X668" s="37"/>
      <c r="Y668" s="37"/>
      <c r="Z66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8" s="37"/>
      <c r="AB668" s="66" t="str">
        <f>IF(COUNTA(SalCommune[[#This Row],[Nom]:[heures annuelles
selon contrat(s)]])=0,"",SalCommune[[#This Row],[Total global]]-ABS(SalCommune[[#This Row],[Dont non opposable]]))</f>
        <v/>
      </c>
      <c r="AC668" s="8"/>
      <c r="AD668" s="63"/>
      <c r="AE668" s="430"/>
      <c r="AF668" s="430"/>
      <c r="AG668" s="430"/>
      <c r="AH668" s="181"/>
      <c r="AI668" s="194">
        <f>IF(COUNTA(SalCommune[[#This Row],[N°]:[heures annuelles
selon contrat(s)]])=0,"",REVEX!$E$9)</f>
        <v>0</v>
      </c>
      <c r="AJ668" s="72" t="str">
        <f>IF(SalCommune[[#This Row],[Allocations fonctions]]="","",IF(ISNA(VLOOKUP(SalCommune[[#This Row],[Allocations fonctions]],DROPDOWN[Dropdown82],1,FALSE))=TRUE,"&lt;-- Veuillez choisir l'allocation parmis la liste déroulante.",""))</f>
        <v/>
      </c>
    </row>
    <row r="669" spans="1:36" x14ac:dyDescent="0.25">
      <c r="A669" s="72" t="str">
        <f>IF(SalCommune[[#This Row],[Statut]]="","",IF(ISNA(VLOOKUP(SalCommune[[#This Row],[Statut]],'Grille communale'!$B$3:$B$5,1,FALSE))=TRUE,"Veuillez choisir le statut parmis la liste déroulante",""))</f>
        <v/>
      </c>
      <c r="B669" s="725" t="str">
        <f>IF(SalCommune[[#This Row],[Matricule]]="","",MAX($B$7:B668)+1)</f>
        <v/>
      </c>
      <c r="C669" s="8"/>
      <c r="D669" s="8"/>
      <c r="E669" s="20"/>
      <c r="F669" s="8"/>
      <c r="G669" s="8"/>
      <c r="H669" s="9"/>
      <c r="I669" s="9"/>
      <c r="J669" s="9"/>
      <c r="K669" s="10"/>
      <c r="L669" s="10"/>
      <c r="M669" s="9"/>
      <c r="N669" s="9"/>
      <c r="O669" s="9"/>
      <c r="P66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69" s="9"/>
      <c r="R669" s="9"/>
      <c r="S669" s="9"/>
      <c r="T669" s="37"/>
      <c r="U669" s="37"/>
      <c r="V669" s="37"/>
      <c r="W669" s="37"/>
      <c r="X669" s="37"/>
      <c r="Y669" s="37"/>
      <c r="Z66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69" s="37"/>
      <c r="AB669" s="66" t="str">
        <f>IF(COUNTA(SalCommune[[#This Row],[Nom]:[heures annuelles
selon contrat(s)]])=0,"",SalCommune[[#This Row],[Total global]]-ABS(SalCommune[[#This Row],[Dont non opposable]]))</f>
        <v/>
      </c>
      <c r="AC669" s="8"/>
      <c r="AD669" s="63"/>
      <c r="AE669" s="430"/>
      <c r="AF669" s="430"/>
      <c r="AG669" s="430"/>
      <c r="AH669" s="181"/>
      <c r="AI669" s="194">
        <f>IF(COUNTA(SalCommune[[#This Row],[N°]:[heures annuelles
selon contrat(s)]])=0,"",REVEX!$E$9)</f>
        <v>0</v>
      </c>
      <c r="AJ669" s="72" t="str">
        <f>IF(SalCommune[[#This Row],[Allocations fonctions]]="","",IF(ISNA(VLOOKUP(SalCommune[[#This Row],[Allocations fonctions]],DROPDOWN[Dropdown82],1,FALSE))=TRUE,"&lt;-- Veuillez choisir l'allocation parmis la liste déroulante.",""))</f>
        <v/>
      </c>
    </row>
    <row r="670" spans="1:36" x14ac:dyDescent="0.25">
      <c r="A670" s="72" t="str">
        <f>IF(SalCommune[[#This Row],[Statut]]="","",IF(ISNA(VLOOKUP(SalCommune[[#This Row],[Statut]],'Grille communale'!$B$3:$B$5,1,FALSE))=TRUE,"Veuillez choisir le statut parmis la liste déroulante",""))</f>
        <v/>
      </c>
      <c r="B670" s="725" t="str">
        <f>IF(SalCommune[[#This Row],[Matricule]]="","",MAX($B$7:B669)+1)</f>
        <v/>
      </c>
      <c r="C670" s="8"/>
      <c r="D670" s="8"/>
      <c r="E670" s="20"/>
      <c r="F670" s="8"/>
      <c r="G670" s="8"/>
      <c r="H670" s="9"/>
      <c r="I670" s="9"/>
      <c r="J670" s="9"/>
      <c r="K670" s="10"/>
      <c r="L670" s="10"/>
      <c r="M670" s="9"/>
      <c r="N670" s="9"/>
      <c r="O670" s="9"/>
      <c r="P67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0" s="9"/>
      <c r="R670" s="9"/>
      <c r="S670" s="9"/>
      <c r="T670" s="37"/>
      <c r="U670" s="37"/>
      <c r="V670" s="37"/>
      <c r="W670" s="37"/>
      <c r="X670" s="37"/>
      <c r="Y670" s="37"/>
      <c r="Z67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0" s="37"/>
      <c r="AB670" s="66" t="str">
        <f>IF(COUNTA(SalCommune[[#This Row],[Nom]:[heures annuelles
selon contrat(s)]])=0,"",SalCommune[[#This Row],[Total global]]-ABS(SalCommune[[#This Row],[Dont non opposable]]))</f>
        <v/>
      </c>
      <c r="AC670" s="8"/>
      <c r="AD670" s="63"/>
      <c r="AE670" s="430"/>
      <c r="AF670" s="430"/>
      <c r="AG670" s="430"/>
      <c r="AH670" s="181"/>
      <c r="AI670" s="194">
        <f>IF(COUNTA(SalCommune[[#This Row],[N°]:[heures annuelles
selon contrat(s)]])=0,"",REVEX!$E$9)</f>
        <v>0</v>
      </c>
      <c r="AJ670" s="72" t="str">
        <f>IF(SalCommune[[#This Row],[Allocations fonctions]]="","",IF(ISNA(VLOOKUP(SalCommune[[#This Row],[Allocations fonctions]],DROPDOWN[Dropdown82],1,FALSE))=TRUE,"&lt;-- Veuillez choisir l'allocation parmis la liste déroulante.",""))</f>
        <v/>
      </c>
    </row>
    <row r="671" spans="1:36" x14ac:dyDescent="0.25">
      <c r="A671" s="72" t="str">
        <f>IF(SalCommune[[#This Row],[Statut]]="","",IF(ISNA(VLOOKUP(SalCommune[[#This Row],[Statut]],'Grille communale'!$B$3:$B$5,1,FALSE))=TRUE,"Veuillez choisir le statut parmis la liste déroulante",""))</f>
        <v/>
      </c>
      <c r="B671" s="725" t="str">
        <f>IF(SalCommune[[#This Row],[Matricule]]="","",MAX($B$7:B670)+1)</f>
        <v/>
      </c>
      <c r="C671" s="8"/>
      <c r="D671" s="8"/>
      <c r="E671" s="20"/>
      <c r="F671" s="8"/>
      <c r="G671" s="8"/>
      <c r="H671" s="9"/>
      <c r="I671" s="9"/>
      <c r="J671" s="9"/>
      <c r="K671" s="10"/>
      <c r="L671" s="10"/>
      <c r="M671" s="9"/>
      <c r="N671" s="9"/>
      <c r="O671" s="9"/>
      <c r="P67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1" s="9"/>
      <c r="R671" s="9"/>
      <c r="S671" s="9"/>
      <c r="T671" s="37"/>
      <c r="U671" s="37"/>
      <c r="V671" s="37"/>
      <c r="W671" s="37"/>
      <c r="X671" s="37"/>
      <c r="Y671" s="37"/>
      <c r="Z67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1" s="37"/>
      <c r="AB671" s="66" t="str">
        <f>IF(COUNTA(SalCommune[[#This Row],[Nom]:[heures annuelles
selon contrat(s)]])=0,"",SalCommune[[#This Row],[Total global]]-ABS(SalCommune[[#This Row],[Dont non opposable]]))</f>
        <v/>
      </c>
      <c r="AC671" s="8"/>
      <c r="AD671" s="63"/>
      <c r="AE671" s="430"/>
      <c r="AF671" s="430"/>
      <c r="AG671" s="430"/>
      <c r="AH671" s="181"/>
      <c r="AI671" s="194">
        <f>IF(COUNTA(SalCommune[[#This Row],[N°]:[heures annuelles
selon contrat(s)]])=0,"",REVEX!$E$9)</f>
        <v>0</v>
      </c>
      <c r="AJ671" s="72" t="str">
        <f>IF(SalCommune[[#This Row],[Allocations fonctions]]="","",IF(ISNA(VLOOKUP(SalCommune[[#This Row],[Allocations fonctions]],DROPDOWN[Dropdown82],1,FALSE))=TRUE,"&lt;-- Veuillez choisir l'allocation parmis la liste déroulante.",""))</f>
        <v/>
      </c>
    </row>
    <row r="672" spans="1:36" x14ac:dyDescent="0.25">
      <c r="A672" s="72" t="str">
        <f>IF(SalCommune[[#This Row],[Statut]]="","",IF(ISNA(VLOOKUP(SalCommune[[#This Row],[Statut]],'Grille communale'!$B$3:$B$5,1,FALSE))=TRUE,"Veuillez choisir le statut parmis la liste déroulante",""))</f>
        <v/>
      </c>
      <c r="B672" s="725" t="str">
        <f>IF(SalCommune[[#This Row],[Matricule]]="","",MAX($B$7:B671)+1)</f>
        <v/>
      </c>
      <c r="C672" s="8"/>
      <c r="D672" s="8"/>
      <c r="E672" s="20"/>
      <c r="F672" s="8"/>
      <c r="G672" s="8"/>
      <c r="H672" s="9"/>
      <c r="I672" s="9"/>
      <c r="J672" s="9"/>
      <c r="K672" s="10"/>
      <c r="L672" s="10"/>
      <c r="M672" s="9"/>
      <c r="N672" s="9"/>
      <c r="O672" s="9"/>
      <c r="P67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2" s="9"/>
      <c r="R672" s="9"/>
      <c r="S672" s="9"/>
      <c r="T672" s="37"/>
      <c r="U672" s="37"/>
      <c r="V672" s="37"/>
      <c r="W672" s="37"/>
      <c r="X672" s="37"/>
      <c r="Y672" s="37"/>
      <c r="Z67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2" s="37"/>
      <c r="AB672" s="66" t="str">
        <f>IF(COUNTA(SalCommune[[#This Row],[Nom]:[heures annuelles
selon contrat(s)]])=0,"",SalCommune[[#This Row],[Total global]]-ABS(SalCommune[[#This Row],[Dont non opposable]]))</f>
        <v/>
      </c>
      <c r="AC672" s="8"/>
      <c r="AD672" s="63"/>
      <c r="AE672" s="430"/>
      <c r="AF672" s="430"/>
      <c r="AG672" s="430"/>
      <c r="AH672" s="181"/>
      <c r="AI672" s="194">
        <f>IF(COUNTA(SalCommune[[#This Row],[N°]:[heures annuelles
selon contrat(s)]])=0,"",REVEX!$E$9)</f>
        <v>0</v>
      </c>
      <c r="AJ672" s="72" t="str">
        <f>IF(SalCommune[[#This Row],[Allocations fonctions]]="","",IF(ISNA(VLOOKUP(SalCommune[[#This Row],[Allocations fonctions]],DROPDOWN[Dropdown82],1,FALSE))=TRUE,"&lt;-- Veuillez choisir l'allocation parmis la liste déroulante.",""))</f>
        <v/>
      </c>
    </row>
    <row r="673" spans="1:36" x14ac:dyDescent="0.25">
      <c r="A673" s="72" t="str">
        <f>IF(SalCommune[[#This Row],[Statut]]="","",IF(ISNA(VLOOKUP(SalCommune[[#This Row],[Statut]],'Grille communale'!$B$3:$B$5,1,FALSE))=TRUE,"Veuillez choisir le statut parmis la liste déroulante",""))</f>
        <v/>
      </c>
      <c r="B673" s="725" t="str">
        <f>IF(SalCommune[[#This Row],[Matricule]]="","",MAX($B$7:B672)+1)</f>
        <v/>
      </c>
      <c r="C673" s="8"/>
      <c r="D673" s="8"/>
      <c r="E673" s="20"/>
      <c r="F673" s="8"/>
      <c r="G673" s="8"/>
      <c r="H673" s="9"/>
      <c r="I673" s="9"/>
      <c r="J673" s="9"/>
      <c r="K673" s="10"/>
      <c r="L673" s="10"/>
      <c r="M673" s="9"/>
      <c r="N673" s="9"/>
      <c r="O673" s="9"/>
      <c r="P67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3" s="9"/>
      <c r="R673" s="9"/>
      <c r="S673" s="9"/>
      <c r="T673" s="37"/>
      <c r="U673" s="37"/>
      <c r="V673" s="37"/>
      <c r="W673" s="37"/>
      <c r="X673" s="37"/>
      <c r="Y673" s="37"/>
      <c r="Z67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3" s="37"/>
      <c r="AB673" s="66" t="str">
        <f>IF(COUNTA(SalCommune[[#This Row],[Nom]:[heures annuelles
selon contrat(s)]])=0,"",SalCommune[[#This Row],[Total global]]-ABS(SalCommune[[#This Row],[Dont non opposable]]))</f>
        <v/>
      </c>
      <c r="AC673" s="8"/>
      <c r="AD673" s="63"/>
      <c r="AE673" s="430"/>
      <c r="AF673" s="430"/>
      <c r="AG673" s="430"/>
      <c r="AH673" s="181"/>
      <c r="AI673" s="194">
        <f>IF(COUNTA(SalCommune[[#This Row],[N°]:[heures annuelles
selon contrat(s)]])=0,"",REVEX!$E$9)</f>
        <v>0</v>
      </c>
      <c r="AJ673" s="72" t="str">
        <f>IF(SalCommune[[#This Row],[Allocations fonctions]]="","",IF(ISNA(VLOOKUP(SalCommune[[#This Row],[Allocations fonctions]],DROPDOWN[Dropdown82],1,FALSE))=TRUE,"&lt;-- Veuillez choisir l'allocation parmis la liste déroulante.",""))</f>
        <v/>
      </c>
    </row>
    <row r="674" spans="1:36" x14ac:dyDescent="0.25">
      <c r="A674" s="72" t="str">
        <f>IF(SalCommune[[#This Row],[Statut]]="","",IF(ISNA(VLOOKUP(SalCommune[[#This Row],[Statut]],'Grille communale'!$B$3:$B$5,1,FALSE))=TRUE,"Veuillez choisir le statut parmis la liste déroulante",""))</f>
        <v/>
      </c>
      <c r="B674" s="725" t="str">
        <f>IF(SalCommune[[#This Row],[Matricule]]="","",MAX($B$7:B673)+1)</f>
        <v/>
      </c>
      <c r="C674" s="8"/>
      <c r="D674" s="8"/>
      <c r="E674" s="20"/>
      <c r="F674" s="8"/>
      <c r="G674" s="8"/>
      <c r="H674" s="9"/>
      <c r="I674" s="9"/>
      <c r="J674" s="9"/>
      <c r="K674" s="10"/>
      <c r="L674" s="10"/>
      <c r="M674" s="9"/>
      <c r="N674" s="9"/>
      <c r="O674" s="9"/>
      <c r="P67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4" s="9"/>
      <c r="R674" s="9"/>
      <c r="S674" s="9"/>
      <c r="T674" s="37"/>
      <c r="U674" s="37"/>
      <c r="V674" s="37"/>
      <c r="W674" s="37"/>
      <c r="X674" s="37"/>
      <c r="Y674" s="37"/>
      <c r="Z67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4" s="37"/>
      <c r="AB674" s="66" t="str">
        <f>IF(COUNTA(SalCommune[[#This Row],[Nom]:[heures annuelles
selon contrat(s)]])=0,"",SalCommune[[#This Row],[Total global]]-ABS(SalCommune[[#This Row],[Dont non opposable]]))</f>
        <v/>
      </c>
      <c r="AC674" s="8"/>
      <c r="AD674" s="63"/>
      <c r="AE674" s="430"/>
      <c r="AF674" s="430"/>
      <c r="AG674" s="430"/>
      <c r="AH674" s="181"/>
      <c r="AI674" s="194">
        <f>IF(COUNTA(SalCommune[[#This Row],[N°]:[heures annuelles
selon contrat(s)]])=0,"",REVEX!$E$9)</f>
        <v>0</v>
      </c>
      <c r="AJ674" s="72" t="str">
        <f>IF(SalCommune[[#This Row],[Allocations fonctions]]="","",IF(ISNA(VLOOKUP(SalCommune[[#This Row],[Allocations fonctions]],DROPDOWN[Dropdown82],1,FALSE))=TRUE,"&lt;-- Veuillez choisir l'allocation parmis la liste déroulante.",""))</f>
        <v/>
      </c>
    </row>
    <row r="675" spans="1:36" x14ac:dyDescent="0.25">
      <c r="A675" s="72" t="str">
        <f>IF(SalCommune[[#This Row],[Statut]]="","",IF(ISNA(VLOOKUP(SalCommune[[#This Row],[Statut]],'Grille communale'!$B$3:$B$5,1,FALSE))=TRUE,"Veuillez choisir le statut parmis la liste déroulante",""))</f>
        <v/>
      </c>
      <c r="B675" s="725" t="str">
        <f>IF(SalCommune[[#This Row],[Matricule]]="","",MAX($B$7:B674)+1)</f>
        <v/>
      </c>
      <c r="C675" s="8"/>
      <c r="D675" s="8"/>
      <c r="E675" s="20"/>
      <c r="F675" s="8"/>
      <c r="G675" s="8"/>
      <c r="H675" s="9"/>
      <c r="I675" s="9"/>
      <c r="J675" s="9"/>
      <c r="K675" s="10"/>
      <c r="L675" s="10"/>
      <c r="M675" s="9"/>
      <c r="N675" s="9"/>
      <c r="O675" s="9"/>
      <c r="P67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5" s="9"/>
      <c r="R675" s="9"/>
      <c r="S675" s="9"/>
      <c r="T675" s="37"/>
      <c r="U675" s="37"/>
      <c r="V675" s="37"/>
      <c r="W675" s="37"/>
      <c r="X675" s="37"/>
      <c r="Y675" s="37"/>
      <c r="Z67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5" s="37"/>
      <c r="AB675" s="66" t="str">
        <f>IF(COUNTA(SalCommune[[#This Row],[Nom]:[heures annuelles
selon contrat(s)]])=0,"",SalCommune[[#This Row],[Total global]]-ABS(SalCommune[[#This Row],[Dont non opposable]]))</f>
        <v/>
      </c>
      <c r="AC675" s="8"/>
      <c r="AD675" s="63"/>
      <c r="AE675" s="430"/>
      <c r="AF675" s="430"/>
      <c r="AG675" s="430"/>
      <c r="AH675" s="181"/>
      <c r="AI675" s="194">
        <f>IF(COUNTA(SalCommune[[#This Row],[N°]:[heures annuelles
selon contrat(s)]])=0,"",REVEX!$E$9)</f>
        <v>0</v>
      </c>
      <c r="AJ675" s="72" t="str">
        <f>IF(SalCommune[[#This Row],[Allocations fonctions]]="","",IF(ISNA(VLOOKUP(SalCommune[[#This Row],[Allocations fonctions]],DROPDOWN[Dropdown82],1,FALSE))=TRUE,"&lt;-- Veuillez choisir l'allocation parmis la liste déroulante.",""))</f>
        <v/>
      </c>
    </row>
    <row r="676" spans="1:36" x14ac:dyDescent="0.25">
      <c r="A676" s="72" t="str">
        <f>IF(SalCommune[[#This Row],[Statut]]="","",IF(ISNA(VLOOKUP(SalCommune[[#This Row],[Statut]],'Grille communale'!$B$3:$B$5,1,FALSE))=TRUE,"Veuillez choisir le statut parmis la liste déroulante",""))</f>
        <v/>
      </c>
      <c r="B676" s="725" t="str">
        <f>IF(SalCommune[[#This Row],[Matricule]]="","",MAX($B$7:B675)+1)</f>
        <v/>
      </c>
      <c r="C676" s="8"/>
      <c r="D676" s="8"/>
      <c r="E676" s="20"/>
      <c r="F676" s="8"/>
      <c r="G676" s="8"/>
      <c r="H676" s="9"/>
      <c r="I676" s="9"/>
      <c r="J676" s="9"/>
      <c r="K676" s="10"/>
      <c r="L676" s="10"/>
      <c r="M676" s="9"/>
      <c r="N676" s="9"/>
      <c r="O676" s="9"/>
      <c r="P67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6" s="9"/>
      <c r="R676" s="9"/>
      <c r="S676" s="9"/>
      <c r="T676" s="37"/>
      <c r="U676" s="37"/>
      <c r="V676" s="37"/>
      <c r="W676" s="37"/>
      <c r="X676" s="37"/>
      <c r="Y676" s="37"/>
      <c r="Z67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6" s="37"/>
      <c r="AB676" s="66" t="str">
        <f>IF(COUNTA(SalCommune[[#This Row],[Nom]:[heures annuelles
selon contrat(s)]])=0,"",SalCommune[[#This Row],[Total global]]-ABS(SalCommune[[#This Row],[Dont non opposable]]))</f>
        <v/>
      </c>
      <c r="AC676" s="8"/>
      <c r="AD676" s="63"/>
      <c r="AE676" s="430"/>
      <c r="AF676" s="430"/>
      <c r="AG676" s="430"/>
      <c r="AH676" s="181"/>
      <c r="AI676" s="194">
        <f>IF(COUNTA(SalCommune[[#This Row],[N°]:[heures annuelles
selon contrat(s)]])=0,"",REVEX!$E$9)</f>
        <v>0</v>
      </c>
      <c r="AJ676" s="72" t="str">
        <f>IF(SalCommune[[#This Row],[Allocations fonctions]]="","",IF(ISNA(VLOOKUP(SalCommune[[#This Row],[Allocations fonctions]],DROPDOWN[Dropdown82],1,FALSE))=TRUE,"&lt;-- Veuillez choisir l'allocation parmis la liste déroulante.",""))</f>
        <v/>
      </c>
    </row>
    <row r="677" spans="1:36" x14ac:dyDescent="0.25">
      <c r="A677" s="72" t="str">
        <f>IF(SalCommune[[#This Row],[Statut]]="","",IF(ISNA(VLOOKUP(SalCommune[[#This Row],[Statut]],'Grille communale'!$B$3:$B$5,1,FALSE))=TRUE,"Veuillez choisir le statut parmis la liste déroulante",""))</f>
        <v/>
      </c>
      <c r="B677" s="725" t="str">
        <f>IF(SalCommune[[#This Row],[Matricule]]="","",MAX($B$7:B676)+1)</f>
        <v/>
      </c>
      <c r="C677" s="8"/>
      <c r="D677" s="8"/>
      <c r="E677" s="20"/>
      <c r="F677" s="8"/>
      <c r="G677" s="8"/>
      <c r="H677" s="9"/>
      <c r="I677" s="9"/>
      <c r="J677" s="9"/>
      <c r="K677" s="10"/>
      <c r="L677" s="10"/>
      <c r="M677" s="9"/>
      <c r="N677" s="9"/>
      <c r="O677" s="9"/>
      <c r="P67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7" s="9"/>
      <c r="R677" s="9"/>
      <c r="S677" s="9"/>
      <c r="T677" s="37"/>
      <c r="U677" s="37"/>
      <c r="V677" s="37"/>
      <c r="W677" s="37"/>
      <c r="X677" s="37"/>
      <c r="Y677" s="37"/>
      <c r="Z67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7" s="37"/>
      <c r="AB677" s="66" t="str">
        <f>IF(COUNTA(SalCommune[[#This Row],[Nom]:[heures annuelles
selon contrat(s)]])=0,"",SalCommune[[#This Row],[Total global]]-ABS(SalCommune[[#This Row],[Dont non opposable]]))</f>
        <v/>
      </c>
      <c r="AC677" s="8"/>
      <c r="AD677" s="63"/>
      <c r="AE677" s="430"/>
      <c r="AF677" s="430"/>
      <c r="AG677" s="430"/>
      <c r="AH677" s="181"/>
      <c r="AI677" s="194">
        <f>IF(COUNTA(SalCommune[[#This Row],[N°]:[heures annuelles
selon contrat(s)]])=0,"",REVEX!$E$9)</f>
        <v>0</v>
      </c>
      <c r="AJ677" s="72" t="str">
        <f>IF(SalCommune[[#This Row],[Allocations fonctions]]="","",IF(ISNA(VLOOKUP(SalCommune[[#This Row],[Allocations fonctions]],DROPDOWN[Dropdown82],1,FALSE))=TRUE,"&lt;-- Veuillez choisir l'allocation parmis la liste déroulante.",""))</f>
        <v/>
      </c>
    </row>
    <row r="678" spans="1:36" x14ac:dyDescent="0.25">
      <c r="A678" s="72" t="str">
        <f>IF(SalCommune[[#This Row],[Statut]]="","",IF(ISNA(VLOOKUP(SalCommune[[#This Row],[Statut]],'Grille communale'!$B$3:$B$5,1,FALSE))=TRUE,"Veuillez choisir le statut parmis la liste déroulante",""))</f>
        <v/>
      </c>
      <c r="B678" s="725" t="str">
        <f>IF(SalCommune[[#This Row],[Matricule]]="","",MAX($B$7:B677)+1)</f>
        <v/>
      </c>
      <c r="C678" s="8"/>
      <c r="D678" s="8"/>
      <c r="E678" s="20"/>
      <c r="F678" s="8"/>
      <c r="G678" s="8"/>
      <c r="H678" s="9"/>
      <c r="I678" s="9"/>
      <c r="J678" s="9"/>
      <c r="K678" s="10"/>
      <c r="L678" s="10"/>
      <c r="M678" s="9"/>
      <c r="N678" s="9"/>
      <c r="O678" s="9"/>
      <c r="P67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8" s="9"/>
      <c r="R678" s="9"/>
      <c r="S678" s="9"/>
      <c r="T678" s="37"/>
      <c r="U678" s="37"/>
      <c r="V678" s="37"/>
      <c r="W678" s="37"/>
      <c r="X678" s="37"/>
      <c r="Y678" s="37"/>
      <c r="Z67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8" s="37"/>
      <c r="AB678" s="66" t="str">
        <f>IF(COUNTA(SalCommune[[#This Row],[Nom]:[heures annuelles
selon contrat(s)]])=0,"",SalCommune[[#This Row],[Total global]]-ABS(SalCommune[[#This Row],[Dont non opposable]]))</f>
        <v/>
      </c>
      <c r="AC678" s="8"/>
      <c r="AD678" s="63"/>
      <c r="AE678" s="430"/>
      <c r="AF678" s="430"/>
      <c r="AG678" s="430"/>
      <c r="AH678" s="181"/>
      <c r="AI678" s="194">
        <f>IF(COUNTA(SalCommune[[#This Row],[N°]:[heures annuelles
selon contrat(s)]])=0,"",REVEX!$E$9)</f>
        <v>0</v>
      </c>
      <c r="AJ678" s="72" t="str">
        <f>IF(SalCommune[[#This Row],[Allocations fonctions]]="","",IF(ISNA(VLOOKUP(SalCommune[[#This Row],[Allocations fonctions]],DROPDOWN[Dropdown82],1,FALSE))=TRUE,"&lt;-- Veuillez choisir l'allocation parmis la liste déroulante.",""))</f>
        <v/>
      </c>
    </row>
    <row r="679" spans="1:36" x14ac:dyDescent="0.25">
      <c r="A679" s="72" t="str">
        <f>IF(SalCommune[[#This Row],[Statut]]="","",IF(ISNA(VLOOKUP(SalCommune[[#This Row],[Statut]],'Grille communale'!$B$3:$B$5,1,FALSE))=TRUE,"Veuillez choisir le statut parmis la liste déroulante",""))</f>
        <v/>
      </c>
      <c r="B679" s="725" t="str">
        <f>IF(SalCommune[[#This Row],[Matricule]]="","",MAX($B$7:B678)+1)</f>
        <v/>
      </c>
      <c r="C679" s="8"/>
      <c r="D679" s="8"/>
      <c r="E679" s="20"/>
      <c r="F679" s="8"/>
      <c r="G679" s="8"/>
      <c r="H679" s="9"/>
      <c r="I679" s="9"/>
      <c r="J679" s="9"/>
      <c r="K679" s="10"/>
      <c r="L679" s="10"/>
      <c r="M679" s="9"/>
      <c r="N679" s="9"/>
      <c r="O679" s="9"/>
      <c r="P67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79" s="9"/>
      <c r="R679" s="9"/>
      <c r="S679" s="9"/>
      <c r="T679" s="37"/>
      <c r="U679" s="37"/>
      <c r="V679" s="37"/>
      <c r="W679" s="37"/>
      <c r="X679" s="37"/>
      <c r="Y679" s="37"/>
      <c r="Z67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79" s="37"/>
      <c r="AB679" s="66" t="str">
        <f>IF(COUNTA(SalCommune[[#This Row],[Nom]:[heures annuelles
selon contrat(s)]])=0,"",SalCommune[[#This Row],[Total global]]-ABS(SalCommune[[#This Row],[Dont non opposable]]))</f>
        <v/>
      </c>
      <c r="AC679" s="8"/>
      <c r="AD679" s="63"/>
      <c r="AE679" s="430"/>
      <c r="AF679" s="430"/>
      <c r="AG679" s="430"/>
      <c r="AH679" s="181"/>
      <c r="AI679" s="194">
        <f>IF(COUNTA(SalCommune[[#This Row],[N°]:[heures annuelles
selon contrat(s)]])=0,"",REVEX!$E$9)</f>
        <v>0</v>
      </c>
      <c r="AJ679" s="72" t="str">
        <f>IF(SalCommune[[#This Row],[Allocations fonctions]]="","",IF(ISNA(VLOOKUP(SalCommune[[#This Row],[Allocations fonctions]],DROPDOWN[Dropdown82],1,FALSE))=TRUE,"&lt;-- Veuillez choisir l'allocation parmis la liste déroulante.",""))</f>
        <v/>
      </c>
    </row>
    <row r="680" spans="1:36" x14ac:dyDescent="0.25">
      <c r="A680" s="72" t="str">
        <f>IF(SalCommune[[#This Row],[Statut]]="","",IF(ISNA(VLOOKUP(SalCommune[[#This Row],[Statut]],'Grille communale'!$B$3:$B$5,1,FALSE))=TRUE,"Veuillez choisir le statut parmis la liste déroulante",""))</f>
        <v/>
      </c>
      <c r="B680" s="725" t="str">
        <f>IF(SalCommune[[#This Row],[Matricule]]="","",MAX($B$7:B679)+1)</f>
        <v/>
      </c>
      <c r="C680" s="8"/>
      <c r="D680" s="8"/>
      <c r="E680" s="20"/>
      <c r="F680" s="8"/>
      <c r="G680" s="8"/>
      <c r="H680" s="9"/>
      <c r="I680" s="9"/>
      <c r="J680" s="9"/>
      <c r="K680" s="10"/>
      <c r="L680" s="10"/>
      <c r="M680" s="9"/>
      <c r="N680" s="9"/>
      <c r="O680" s="9"/>
      <c r="P68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0" s="9"/>
      <c r="R680" s="9"/>
      <c r="S680" s="9"/>
      <c r="T680" s="37"/>
      <c r="U680" s="37"/>
      <c r="V680" s="37"/>
      <c r="W680" s="37"/>
      <c r="X680" s="37"/>
      <c r="Y680" s="37"/>
      <c r="Z68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0" s="37"/>
      <c r="AB680" s="66" t="str">
        <f>IF(COUNTA(SalCommune[[#This Row],[Nom]:[heures annuelles
selon contrat(s)]])=0,"",SalCommune[[#This Row],[Total global]]-ABS(SalCommune[[#This Row],[Dont non opposable]]))</f>
        <v/>
      </c>
      <c r="AC680" s="8"/>
      <c r="AD680" s="63"/>
      <c r="AE680" s="430"/>
      <c r="AF680" s="430"/>
      <c r="AG680" s="430"/>
      <c r="AH680" s="181"/>
      <c r="AI680" s="194">
        <f>IF(COUNTA(SalCommune[[#This Row],[N°]:[heures annuelles
selon contrat(s)]])=0,"",REVEX!$E$9)</f>
        <v>0</v>
      </c>
      <c r="AJ680" s="72" t="str">
        <f>IF(SalCommune[[#This Row],[Allocations fonctions]]="","",IF(ISNA(VLOOKUP(SalCommune[[#This Row],[Allocations fonctions]],DROPDOWN[Dropdown82],1,FALSE))=TRUE,"&lt;-- Veuillez choisir l'allocation parmis la liste déroulante.",""))</f>
        <v/>
      </c>
    </row>
    <row r="681" spans="1:36" x14ac:dyDescent="0.25">
      <c r="A681" s="72" t="str">
        <f>IF(SalCommune[[#This Row],[Statut]]="","",IF(ISNA(VLOOKUP(SalCommune[[#This Row],[Statut]],'Grille communale'!$B$3:$B$5,1,FALSE))=TRUE,"Veuillez choisir le statut parmis la liste déroulante",""))</f>
        <v/>
      </c>
      <c r="B681" s="725" t="str">
        <f>IF(SalCommune[[#This Row],[Matricule]]="","",MAX($B$7:B680)+1)</f>
        <v/>
      </c>
      <c r="C681" s="8"/>
      <c r="D681" s="8"/>
      <c r="E681" s="20"/>
      <c r="F681" s="8"/>
      <c r="G681" s="8"/>
      <c r="H681" s="9"/>
      <c r="I681" s="9"/>
      <c r="J681" s="9"/>
      <c r="K681" s="10"/>
      <c r="L681" s="10"/>
      <c r="M681" s="9"/>
      <c r="N681" s="9"/>
      <c r="O681" s="9"/>
      <c r="P68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1" s="9"/>
      <c r="R681" s="9"/>
      <c r="S681" s="9"/>
      <c r="T681" s="37"/>
      <c r="U681" s="37"/>
      <c r="V681" s="37"/>
      <c r="W681" s="37"/>
      <c r="X681" s="37"/>
      <c r="Y681" s="37"/>
      <c r="Z68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1" s="37"/>
      <c r="AB681" s="66" t="str">
        <f>IF(COUNTA(SalCommune[[#This Row],[Nom]:[heures annuelles
selon contrat(s)]])=0,"",SalCommune[[#This Row],[Total global]]-ABS(SalCommune[[#This Row],[Dont non opposable]]))</f>
        <v/>
      </c>
      <c r="AC681" s="8"/>
      <c r="AD681" s="63"/>
      <c r="AE681" s="430"/>
      <c r="AF681" s="430"/>
      <c r="AG681" s="430"/>
      <c r="AH681" s="181"/>
      <c r="AI681" s="194">
        <f>IF(COUNTA(SalCommune[[#This Row],[N°]:[heures annuelles
selon contrat(s)]])=0,"",REVEX!$E$9)</f>
        <v>0</v>
      </c>
      <c r="AJ681" s="72" t="str">
        <f>IF(SalCommune[[#This Row],[Allocations fonctions]]="","",IF(ISNA(VLOOKUP(SalCommune[[#This Row],[Allocations fonctions]],DROPDOWN[Dropdown82],1,FALSE))=TRUE,"&lt;-- Veuillez choisir l'allocation parmis la liste déroulante.",""))</f>
        <v/>
      </c>
    </row>
    <row r="682" spans="1:36" x14ac:dyDescent="0.25">
      <c r="A682" s="72" t="str">
        <f>IF(SalCommune[[#This Row],[Statut]]="","",IF(ISNA(VLOOKUP(SalCommune[[#This Row],[Statut]],'Grille communale'!$B$3:$B$5,1,FALSE))=TRUE,"Veuillez choisir le statut parmis la liste déroulante",""))</f>
        <v/>
      </c>
      <c r="B682" s="725" t="str">
        <f>IF(SalCommune[[#This Row],[Matricule]]="","",MAX($B$7:B681)+1)</f>
        <v/>
      </c>
      <c r="C682" s="8"/>
      <c r="D682" s="8"/>
      <c r="E682" s="20"/>
      <c r="F682" s="8"/>
      <c r="G682" s="8"/>
      <c r="H682" s="9"/>
      <c r="I682" s="9"/>
      <c r="J682" s="9"/>
      <c r="K682" s="10"/>
      <c r="L682" s="10"/>
      <c r="M682" s="9"/>
      <c r="N682" s="9"/>
      <c r="O682" s="9"/>
      <c r="P68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2" s="9"/>
      <c r="R682" s="9"/>
      <c r="S682" s="9"/>
      <c r="T682" s="37"/>
      <c r="U682" s="37"/>
      <c r="V682" s="37"/>
      <c r="W682" s="37"/>
      <c r="X682" s="37"/>
      <c r="Y682" s="37"/>
      <c r="Z68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2" s="37"/>
      <c r="AB682" s="66" t="str">
        <f>IF(COUNTA(SalCommune[[#This Row],[Nom]:[heures annuelles
selon contrat(s)]])=0,"",SalCommune[[#This Row],[Total global]]-ABS(SalCommune[[#This Row],[Dont non opposable]]))</f>
        <v/>
      </c>
      <c r="AC682" s="8"/>
      <c r="AD682" s="63"/>
      <c r="AE682" s="430"/>
      <c r="AF682" s="430"/>
      <c r="AG682" s="430"/>
      <c r="AH682" s="181"/>
      <c r="AI682" s="194">
        <f>IF(COUNTA(SalCommune[[#This Row],[N°]:[heures annuelles
selon contrat(s)]])=0,"",REVEX!$E$9)</f>
        <v>0</v>
      </c>
      <c r="AJ682" s="72" t="str">
        <f>IF(SalCommune[[#This Row],[Allocations fonctions]]="","",IF(ISNA(VLOOKUP(SalCommune[[#This Row],[Allocations fonctions]],DROPDOWN[Dropdown82],1,FALSE))=TRUE,"&lt;-- Veuillez choisir l'allocation parmis la liste déroulante.",""))</f>
        <v/>
      </c>
    </row>
    <row r="683" spans="1:36" x14ac:dyDescent="0.25">
      <c r="A683" s="72" t="str">
        <f>IF(SalCommune[[#This Row],[Statut]]="","",IF(ISNA(VLOOKUP(SalCommune[[#This Row],[Statut]],'Grille communale'!$B$3:$B$5,1,FALSE))=TRUE,"Veuillez choisir le statut parmis la liste déroulante",""))</f>
        <v/>
      </c>
      <c r="B683" s="725" t="str">
        <f>IF(SalCommune[[#This Row],[Matricule]]="","",MAX($B$7:B682)+1)</f>
        <v/>
      </c>
      <c r="C683" s="8"/>
      <c r="D683" s="8"/>
      <c r="E683" s="20"/>
      <c r="F683" s="8"/>
      <c r="G683" s="8"/>
      <c r="H683" s="9"/>
      <c r="I683" s="9"/>
      <c r="J683" s="9"/>
      <c r="K683" s="10"/>
      <c r="L683" s="10"/>
      <c r="M683" s="9"/>
      <c r="N683" s="9"/>
      <c r="O683" s="9"/>
      <c r="P68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3" s="9"/>
      <c r="R683" s="9"/>
      <c r="S683" s="9"/>
      <c r="T683" s="37"/>
      <c r="U683" s="37"/>
      <c r="V683" s="37"/>
      <c r="W683" s="37"/>
      <c r="X683" s="37"/>
      <c r="Y683" s="37"/>
      <c r="Z68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3" s="37"/>
      <c r="AB683" s="66" t="str">
        <f>IF(COUNTA(SalCommune[[#This Row],[Nom]:[heures annuelles
selon contrat(s)]])=0,"",SalCommune[[#This Row],[Total global]]-ABS(SalCommune[[#This Row],[Dont non opposable]]))</f>
        <v/>
      </c>
      <c r="AC683" s="8"/>
      <c r="AD683" s="63"/>
      <c r="AE683" s="430"/>
      <c r="AF683" s="430"/>
      <c r="AG683" s="430"/>
      <c r="AH683" s="181"/>
      <c r="AI683" s="194">
        <f>IF(COUNTA(SalCommune[[#This Row],[N°]:[heures annuelles
selon contrat(s)]])=0,"",REVEX!$E$9)</f>
        <v>0</v>
      </c>
      <c r="AJ683" s="72" t="str">
        <f>IF(SalCommune[[#This Row],[Allocations fonctions]]="","",IF(ISNA(VLOOKUP(SalCommune[[#This Row],[Allocations fonctions]],DROPDOWN[Dropdown82],1,FALSE))=TRUE,"&lt;-- Veuillez choisir l'allocation parmis la liste déroulante.",""))</f>
        <v/>
      </c>
    </row>
    <row r="684" spans="1:36" x14ac:dyDescent="0.25">
      <c r="A684" s="72" t="str">
        <f>IF(SalCommune[[#This Row],[Statut]]="","",IF(ISNA(VLOOKUP(SalCommune[[#This Row],[Statut]],'Grille communale'!$B$3:$B$5,1,FALSE))=TRUE,"Veuillez choisir le statut parmis la liste déroulante",""))</f>
        <v/>
      </c>
      <c r="B684" s="725" t="str">
        <f>IF(SalCommune[[#This Row],[Matricule]]="","",MAX($B$7:B683)+1)</f>
        <v/>
      </c>
      <c r="C684" s="8"/>
      <c r="D684" s="8"/>
      <c r="E684" s="20"/>
      <c r="F684" s="8"/>
      <c r="G684" s="8"/>
      <c r="H684" s="9"/>
      <c r="I684" s="9"/>
      <c r="J684" s="9"/>
      <c r="K684" s="10"/>
      <c r="L684" s="10"/>
      <c r="M684" s="9"/>
      <c r="N684" s="9"/>
      <c r="O684" s="9"/>
      <c r="P68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4" s="9"/>
      <c r="R684" s="9"/>
      <c r="S684" s="9"/>
      <c r="T684" s="37"/>
      <c r="U684" s="37"/>
      <c r="V684" s="37"/>
      <c r="W684" s="37"/>
      <c r="X684" s="37"/>
      <c r="Y684" s="37"/>
      <c r="Z68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4" s="37"/>
      <c r="AB684" s="66" t="str">
        <f>IF(COUNTA(SalCommune[[#This Row],[Nom]:[heures annuelles
selon contrat(s)]])=0,"",SalCommune[[#This Row],[Total global]]-ABS(SalCommune[[#This Row],[Dont non opposable]]))</f>
        <v/>
      </c>
      <c r="AC684" s="8"/>
      <c r="AD684" s="63"/>
      <c r="AE684" s="430"/>
      <c r="AF684" s="430"/>
      <c r="AG684" s="430"/>
      <c r="AH684" s="181"/>
      <c r="AI684" s="194">
        <f>IF(COUNTA(SalCommune[[#This Row],[N°]:[heures annuelles
selon contrat(s)]])=0,"",REVEX!$E$9)</f>
        <v>0</v>
      </c>
      <c r="AJ684" s="72" t="str">
        <f>IF(SalCommune[[#This Row],[Allocations fonctions]]="","",IF(ISNA(VLOOKUP(SalCommune[[#This Row],[Allocations fonctions]],DROPDOWN[Dropdown82],1,FALSE))=TRUE,"&lt;-- Veuillez choisir l'allocation parmis la liste déroulante.",""))</f>
        <v/>
      </c>
    </row>
    <row r="685" spans="1:36" x14ac:dyDescent="0.25">
      <c r="A685" s="72" t="str">
        <f>IF(SalCommune[[#This Row],[Statut]]="","",IF(ISNA(VLOOKUP(SalCommune[[#This Row],[Statut]],'Grille communale'!$B$3:$B$5,1,FALSE))=TRUE,"Veuillez choisir le statut parmis la liste déroulante",""))</f>
        <v/>
      </c>
      <c r="B685" s="725" t="str">
        <f>IF(SalCommune[[#This Row],[Matricule]]="","",MAX($B$7:B684)+1)</f>
        <v/>
      </c>
      <c r="C685" s="8"/>
      <c r="D685" s="8"/>
      <c r="E685" s="20"/>
      <c r="F685" s="8"/>
      <c r="G685" s="8"/>
      <c r="H685" s="9"/>
      <c r="I685" s="9"/>
      <c r="J685" s="9"/>
      <c r="K685" s="10"/>
      <c r="L685" s="10"/>
      <c r="M685" s="9"/>
      <c r="N685" s="9"/>
      <c r="O685" s="9"/>
      <c r="P68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5" s="9"/>
      <c r="R685" s="9"/>
      <c r="S685" s="9"/>
      <c r="T685" s="37"/>
      <c r="U685" s="37"/>
      <c r="V685" s="37"/>
      <c r="W685" s="37"/>
      <c r="X685" s="37"/>
      <c r="Y685" s="37"/>
      <c r="Z68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5" s="37"/>
      <c r="AB685" s="66" t="str">
        <f>IF(COUNTA(SalCommune[[#This Row],[Nom]:[heures annuelles
selon contrat(s)]])=0,"",SalCommune[[#This Row],[Total global]]-ABS(SalCommune[[#This Row],[Dont non opposable]]))</f>
        <v/>
      </c>
      <c r="AC685" s="8"/>
      <c r="AD685" s="63"/>
      <c r="AE685" s="430"/>
      <c r="AF685" s="430"/>
      <c r="AG685" s="430"/>
      <c r="AH685" s="181"/>
      <c r="AI685" s="194">
        <f>IF(COUNTA(SalCommune[[#This Row],[N°]:[heures annuelles
selon contrat(s)]])=0,"",REVEX!$E$9)</f>
        <v>0</v>
      </c>
      <c r="AJ685" s="72" t="str">
        <f>IF(SalCommune[[#This Row],[Allocations fonctions]]="","",IF(ISNA(VLOOKUP(SalCommune[[#This Row],[Allocations fonctions]],DROPDOWN[Dropdown82],1,FALSE))=TRUE,"&lt;-- Veuillez choisir l'allocation parmis la liste déroulante.",""))</f>
        <v/>
      </c>
    </row>
    <row r="686" spans="1:36" x14ac:dyDescent="0.25">
      <c r="A686" s="72" t="str">
        <f>IF(SalCommune[[#This Row],[Statut]]="","",IF(ISNA(VLOOKUP(SalCommune[[#This Row],[Statut]],'Grille communale'!$B$3:$B$5,1,FALSE))=TRUE,"Veuillez choisir le statut parmis la liste déroulante",""))</f>
        <v/>
      </c>
      <c r="B686" s="725" t="str">
        <f>IF(SalCommune[[#This Row],[Matricule]]="","",MAX($B$7:B685)+1)</f>
        <v/>
      </c>
      <c r="C686" s="8"/>
      <c r="D686" s="8"/>
      <c r="E686" s="20"/>
      <c r="F686" s="8"/>
      <c r="G686" s="8"/>
      <c r="H686" s="9"/>
      <c r="I686" s="9"/>
      <c r="J686" s="9"/>
      <c r="K686" s="10"/>
      <c r="L686" s="10"/>
      <c r="M686" s="9"/>
      <c r="N686" s="9"/>
      <c r="O686" s="9"/>
      <c r="P68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6" s="9"/>
      <c r="R686" s="9"/>
      <c r="S686" s="9"/>
      <c r="T686" s="37"/>
      <c r="U686" s="37"/>
      <c r="V686" s="37"/>
      <c r="W686" s="37"/>
      <c r="X686" s="37"/>
      <c r="Y686" s="37"/>
      <c r="Z68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6" s="37"/>
      <c r="AB686" s="66" t="str">
        <f>IF(COUNTA(SalCommune[[#This Row],[Nom]:[heures annuelles
selon contrat(s)]])=0,"",SalCommune[[#This Row],[Total global]]-ABS(SalCommune[[#This Row],[Dont non opposable]]))</f>
        <v/>
      </c>
      <c r="AC686" s="8"/>
      <c r="AD686" s="63"/>
      <c r="AE686" s="430"/>
      <c r="AF686" s="430"/>
      <c r="AG686" s="430"/>
      <c r="AH686" s="181"/>
      <c r="AI686" s="194">
        <f>IF(COUNTA(SalCommune[[#This Row],[N°]:[heures annuelles
selon contrat(s)]])=0,"",REVEX!$E$9)</f>
        <v>0</v>
      </c>
      <c r="AJ686" s="72" t="str">
        <f>IF(SalCommune[[#This Row],[Allocations fonctions]]="","",IF(ISNA(VLOOKUP(SalCommune[[#This Row],[Allocations fonctions]],DROPDOWN[Dropdown82],1,FALSE))=TRUE,"&lt;-- Veuillez choisir l'allocation parmis la liste déroulante.",""))</f>
        <v/>
      </c>
    </row>
    <row r="687" spans="1:36" x14ac:dyDescent="0.25">
      <c r="A687" s="72" t="str">
        <f>IF(SalCommune[[#This Row],[Statut]]="","",IF(ISNA(VLOOKUP(SalCommune[[#This Row],[Statut]],'Grille communale'!$B$3:$B$5,1,FALSE))=TRUE,"Veuillez choisir le statut parmis la liste déroulante",""))</f>
        <v/>
      </c>
      <c r="B687" s="725" t="str">
        <f>IF(SalCommune[[#This Row],[Matricule]]="","",MAX($B$7:B686)+1)</f>
        <v/>
      </c>
      <c r="C687" s="8"/>
      <c r="D687" s="8"/>
      <c r="E687" s="20"/>
      <c r="F687" s="8"/>
      <c r="G687" s="8"/>
      <c r="H687" s="9"/>
      <c r="I687" s="9"/>
      <c r="J687" s="9"/>
      <c r="K687" s="10"/>
      <c r="L687" s="10"/>
      <c r="M687" s="9"/>
      <c r="N687" s="9"/>
      <c r="O687" s="9"/>
      <c r="P68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7" s="9"/>
      <c r="R687" s="9"/>
      <c r="S687" s="9"/>
      <c r="T687" s="37"/>
      <c r="U687" s="37"/>
      <c r="V687" s="37"/>
      <c r="W687" s="37"/>
      <c r="X687" s="37"/>
      <c r="Y687" s="37"/>
      <c r="Z68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7" s="37"/>
      <c r="AB687" s="66" t="str">
        <f>IF(COUNTA(SalCommune[[#This Row],[Nom]:[heures annuelles
selon contrat(s)]])=0,"",SalCommune[[#This Row],[Total global]]-ABS(SalCommune[[#This Row],[Dont non opposable]]))</f>
        <v/>
      </c>
      <c r="AC687" s="8"/>
      <c r="AD687" s="63"/>
      <c r="AE687" s="430"/>
      <c r="AF687" s="430"/>
      <c r="AG687" s="430"/>
      <c r="AH687" s="181"/>
      <c r="AI687" s="194">
        <f>IF(COUNTA(SalCommune[[#This Row],[N°]:[heures annuelles
selon contrat(s)]])=0,"",REVEX!$E$9)</f>
        <v>0</v>
      </c>
      <c r="AJ687" s="72" t="str">
        <f>IF(SalCommune[[#This Row],[Allocations fonctions]]="","",IF(ISNA(VLOOKUP(SalCommune[[#This Row],[Allocations fonctions]],DROPDOWN[Dropdown82],1,FALSE))=TRUE,"&lt;-- Veuillez choisir l'allocation parmis la liste déroulante.",""))</f>
        <v/>
      </c>
    </row>
    <row r="688" spans="1:36" x14ac:dyDescent="0.25">
      <c r="A688" s="72" t="str">
        <f>IF(SalCommune[[#This Row],[Statut]]="","",IF(ISNA(VLOOKUP(SalCommune[[#This Row],[Statut]],'Grille communale'!$B$3:$B$5,1,FALSE))=TRUE,"Veuillez choisir le statut parmis la liste déroulante",""))</f>
        <v/>
      </c>
      <c r="B688" s="725" t="str">
        <f>IF(SalCommune[[#This Row],[Matricule]]="","",MAX($B$7:B687)+1)</f>
        <v/>
      </c>
      <c r="C688" s="8"/>
      <c r="D688" s="8"/>
      <c r="E688" s="20"/>
      <c r="F688" s="8"/>
      <c r="G688" s="8"/>
      <c r="H688" s="9"/>
      <c r="I688" s="9"/>
      <c r="J688" s="9"/>
      <c r="K688" s="10"/>
      <c r="L688" s="10"/>
      <c r="M688" s="9"/>
      <c r="N688" s="9"/>
      <c r="O688" s="9"/>
      <c r="P68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8" s="9"/>
      <c r="R688" s="9"/>
      <c r="S688" s="9"/>
      <c r="T688" s="37"/>
      <c r="U688" s="37"/>
      <c r="V688" s="37"/>
      <c r="W688" s="37"/>
      <c r="X688" s="37"/>
      <c r="Y688" s="37"/>
      <c r="Z68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8" s="37"/>
      <c r="AB688" s="66" t="str">
        <f>IF(COUNTA(SalCommune[[#This Row],[Nom]:[heures annuelles
selon contrat(s)]])=0,"",SalCommune[[#This Row],[Total global]]-ABS(SalCommune[[#This Row],[Dont non opposable]]))</f>
        <v/>
      </c>
      <c r="AC688" s="8"/>
      <c r="AD688" s="63"/>
      <c r="AE688" s="430"/>
      <c r="AF688" s="430"/>
      <c r="AG688" s="430"/>
      <c r="AH688" s="181"/>
      <c r="AI688" s="194">
        <f>IF(COUNTA(SalCommune[[#This Row],[N°]:[heures annuelles
selon contrat(s)]])=0,"",REVEX!$E$9)</f>
        <v>0</v>
      </c>
      <c r="AJ688" s="72" t="str">
        <f>IF(SalCommune[[#This Row],[Allocations fonctions]]="","",IF(ISNA(VLOOKUP(SalCommune[[#This Row],[Allocations fonctions]],DROPDOWN[Dropdown82],1,FALSE))=TRUE,"&lt;-- Veuillez choisir l'allocation parmis la liste déroulante.",""))</f>
        <v/>
      </c>
    </row>
    <row r="689" spans="1:36" x14ac:dyDescent="0.25">
      <c r="A689" s="72" t="str">
        <f>IF(SalCommune[[#This Row],[Statut]]="","",IF(ISNA(VLOOKUP(SalCommune[[#This Row],[Statut]],'Grille communale'!$B$3:$B$5,1,FALSE))=TRUE,"Veuillez choisir le statut parmis la liste déroulante",""))</f>
        <v/>
      </c>
      <c r="B689" s="725" t="str">
        <f>IF(SalCommune[[#This Row],[Matricule]]="","",MAX($B$7:B688)+1)</f>
        <v/>
      </c>
      <c r="C689" s="8"/>
      <c r="D689" s="8"/>
      <c r="E689" s="20"/>
      <c r="F689" s="8"/>
      <c r="G689" s="8"/>
      <c r="H689" s="9"/>
      <c r="I689" s="9"/>
      <c r="J689" s="9"/>
      <c r="K689" s="10"/>
      <c r="L689" s="10"/>
      <c r="M689" s="9"/>
      <c r="N689" s="9"/>
      <c r="O689" s="9"/>
      <c r="P68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89" s="9"/>
      <c r="R689" s="9"/>
      <c r="S689" s="9"/>
      <c r="T689" s="37"/>
      <c r="U689" s="37"/>
      <c r="V689" s="37"/>
      <c r="W689" s="37"/>
      <c r="X689" s="37"/>
      <c r="Y689" s="37"/>
      <c r="Z68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89" s="37"/>
      <c r="AB689" s="66" t="str">
        <f>IF(COUNTA(SalCommune[[#This Row],[Nom]:[heures annuelles
selon contrat(s)]])=0,"",SalCommune[[#This Row],[Total global]]-ABS(SalCommune[[#This Row],[Dont non opposable]]))</f>
        <v/>
      </c>
      <c r="AC689" s="8"/>
      <c r="AD689" s="63"/>
      <c r="AE689" s="430"/>
      <c r="AF689" s="430"/>
      <c r="AG689" s="430"/>
      <c r="AH689" s="181"/>
      <c r="AI689" s="194">
        <f>IF(COUNTA(SalCommune[[#This Row],[N°]:[heures annuelles
selon contrat(s)]])=0,"",REVEX!$E$9)</f>
        <v>0</v>
      </c>
      <c r="AJ689" s="72" t="str">
        <f>IF(SalCommune[[#This Row],[Allocations fonctions]]="","",IF(ISNA(VLOOKUP(SalCommune[[#This Row],[Allocations fonctions]],DROPDOWN[Dropdown82],1,FALSE))=TRUE,"&lt;-- Veuillez choisir l'allocation parmis la liste déroulante.",""))</f>
        <v/>
      </c>
    </row>
    <row r="690" spans="1:36" x14ac:dyDescent="0.25">
      <c r="A690" s="72" t="str">
        <f>IF(SalCommune[[#This Row],[Statut]]="","",IF(ISNA(VLOOKUP(SalCommune[[#This Row],[Statut]],'Grille communale'!$B$3:$B$5,1,FALSE))=TRUE,"Veuillez choisir le statut parmis la liste déroulante",""))</f>
        <v/>
      </c>
      <c r="B690" s="725" t="str">
        <f>IF(SalCommune[[#This Row],[Matricule]]="","",MAX($B$7:B689)+1)</f>
        <v/>
      </c>
      <c r="C690" s="8"/>
      <c r="D690" s="8"/>
      <c r="E690" s="20"/>
      <c r="F690" s="8"/>
      <c r="G690" s="8"/>
      <c r="H690" s="9"/>
      <c r="I690" s="9"/>
      <c r="J690" s="9"/>
      <c r="K690" s="10"/>
      <c r="L690" s="10"/>
      <c r="M690" s="9"/>
      <c r="N690" s="9"/>
      <c r="O690" s="9"/>
      <c r="P69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0" s="9"/>
      <c r="R690" s="9"/>
      <c r="S690" s="9"/>
      <c r="T690" s="37"/>
      <c r="U690" s="37"/>
      <c r="V690" s="37"/>
      <c r="W690" s="37"/>
      <c r="X690" s="37"/>
      <c r="Y690" s="37"/>
      <c r="Z69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0" s="37"/>
      <c r="AB690" s="66" t="str">
        <f>IF(COUNTA(SalCommune[[#This Row],[Nom]:[heures annuelles
selon contrat(s)]])=0,"",SalCommune[[#This Row],[Total global]]-ABS(SalCommune[[#This Row],[Dont non opposable]]))</f>
        <v/>
      </c>
      <c r="AC690" s="8"/>
      <c r="AD690" s="63"/>
      <c r="AE690" s="430"/>
      <c r="AF690" s="430"/>
      <c r="AG690" s="430"/>
      <c r="AH690" s="181"/>
      <c r="AI690" s="194">
        <f>IF(COUNTA(SalCommune[[#This Row],[N°]:[heures annuelles
selon contrat(s)]])=0,"",REVEX!$E$9)</f>
        <v>0</v>
      </c>
      <c r="AJ690" s="72" t="str">
        <f>IF(SalCommune[[#This Row],[Allocations fonctions]]="","",IF(ISNA(VLOOKUP(SalCommune[[#This Row],[Allocations fonctions]],DROPDOWN[Dropdown82],1,FALSE))=TRUE,"&lt;-- Veuillez choisir l'allocation parmis la liste déroulante.",""))</f>
        <v/>
      </c>
    </row>
    <row r="691" spans="1:36" x14ac:dyDescent="0.25">
      <c r="A691" s="72" t="str">
        <f>IF(SalCommune[[#This Row],[Statut]]="","",IF(ISNA(VLOOKUP(SalCommune[[#This Row],[Statut]],'Grille communale'!$B$3:$B$5,1,FALSE))=TRUE,"Veuillez choisir le statut parmis la liste déroulante",""))</f>
        <v/>
      </c>
      <c r="B691" s="725" t="str">
        <f>IF(SalCommune[[#This Row],[Matricule]]="","",MAX($B$7:B690)+1)</f>
        <v/>
      </c>
      <c r="C691" s="8"/>
      <c r="D691" s="8"/>
      <c r="E691" s="20"/>
      <c r="F691" s="8"/>
      <c r="G691" s="8"/>
      <c r="H691" s="9"/>
      <c r="I691" s="9"/>
      <c r="J691" s="9"/>
      <c r="K691" s="10"/>
      <c r="L691" s="10"/>
      <c r="M691" s="9"/>
      <c r="N691" s="9"/>
      <c r="O691" s="9"/>
      <c r="P69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1" s="9"/>
      <c r="R691" s="9"/>
      <c r="S691" s="9"/>
      <c r="T691" s="37"/>
      <c r="U691" s="37"/>
      <c r="V691" s="37"/>
      <c r="W691" s="37"/>
      <c r="X691" s="37"/>
      <c r="Y691" s="37"/>
      <c r="Z69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1" s="37"/>
      <c r="AB691" s="66" t="str">
        <f>IF(COUNTA(SalCommune[[#This Row],[Nom]:[heures annuelles
selon contrat(s)]])=0,"",SalCommune[[#This Row],[Total global]]-ABS(SalCommune[[#This Row],[Dont non opposable]]))</f>
        <v/>
      </c>
      <c r="AC691" s="8"/>
      <c r="AD691" s="63"/>
      <c r="AE691" s="430"/>
      <c r="AF691" s="430"/>
      <c r="AG691" s="430"/>
      <c r="AH691" s="181"/>
      <c r="AI691" s="194">
        <f>IF(COUNTA(SalCommune[[#This Row],[N°]:[heures annuelles
selon contrat(s)]])=0,"",REVEX!$E$9)</f>
        <v>0</v>
      </c>
      <c r="AJ691" s="72" t="str">
        <f>IF(SalCommune[[#This Row],[Allocations fonctions]]="","",IF(ISNA(VLOOKUP(SalCommune[[#This Row],[Allocations fonctions]],DROPDOWN[Dropdown82],1,FALSE))=TRUE,"&lt;-- Veuillez choisir l'allocation parmis la liste déroulante.",""))</f>
        <v/>
      </c>
    </row>
    <row r="692" spans="1:36" x14ac:dyDescent="0.25">
      <c r="A692" s="72" t="str">
        <f>IF(SalCommune[[#This Row],[Statut]]="","",IF(ISNA(VLOOKUP(SalCommune[[#This Row],[Statut]],'Grille communale'!$B$3:$B$5,1,FALSE))=TRUE,"Veuillez choisir le statut parmis la liste déroulante",""))</f>
        <v/>
      </c>
      <c r="B692" s="725" t="str">
        <f>IF(SalCommune[[#This Row],[Matricule]]="","",MAX($B$7:B691)+1)</f>
        <v/>
      </c>
      <c r="C692" s="8"/>
      <c r="D692" s="8"/>
      <c r="E692" s="20"/>
      <c r="F692" s="8"/>
      <c r="G692" s="8"/>
      <c r="H692" s="9"/>
      <c r="I692" s="9"/>
      <c r="J692" s="9"/>
      <c r="K692" s="10"/>
      <c r="L692" s="10"/>
      <c r="M692" s="9"/>
      <c r="N692" s="9"/>
      <c r="O692" s="9"/>
      <c r="P69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2" s="9"/>
      <c r="R692" s="9"/>
      <c r="S692" s="9"/>
      <c r="T692" s="37"/>
      <c r="U692" s="37"/>
      <c r="V692" s="37"/>
      <c r="W692" s="37"/>
      <c r="X692" s="37"/>
      <c r="Y692" s="37"/>
      <c r="Z69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2" s="37"/>
      <c r="AB692" s="66" t="str">
        <f>IF(COUNTA(SalCommune[[#This Row],[Nom]:[heures annuelles
selon contrat(s)]])=0,"",SalCommune[[#This Row],[Total global]]-ABS(SalCommune[[#This Row],[Dont non opposable]]))</f>
        <v/>
      </c>
      <c r="AC692" s="8"/>
      <c r="AD692" s="63"/>
      <c r="AE692" s="430"/>
      <c r="AF692" s="430"/>
      <c r="AG692" s="430"/>
      <c r="AH692" s="181"/>
      <c r="AI692" s="194">
        <f>IF(COUNTA(SalCommune[[#This Row],[N°]:[heures annuelles
selon contrat(s)]])=0,"",REVEX!$E$9)</f>
        <v>0</v>
      </c>
      <c r="AJ692" s="72" t="str">
        <f>IF(SalCommune[[#This Row],[Allocations fonctions]]="","",IF(ISNA(VLOOKUP(SalCommune[[#This Row],[Allocations fonctions]],DROPDOWN[Dropdown82],1,FALSE))=TRUE,"&lt;-- Veuillez choisir l'allocation parmis la liste déroulante.",""))</f>
        <v/>
      </c>
    </row>
    <row r="693" spans="1:36" x14ac:dyDescent="0.25">
      <c r="A693" s="72" t="str">
        <f>IF(SalCommune[[#This Row],[Statut]]="","",IF(ISNA(VLOOKUP(SalCommune[[#This Row],[Statut]],'Grille communale'!$B$3:$B$5,1,FALSE))=TRUE,"Veuillez choisir le statut parmis la liste déroulante",""))</f>
        <v/>
      </c>
      <c r="B693" s="725" t="str">
        <f>IF(SalCommune[[#This Row],[Matricule]]="","",MAX($B$7:B692)+1)</f>
        <v/>
      </c>
      <c r="C693" s="8"/>
      <c r="D693" s="8"/>
      <c r="E693" s="20"/>
      <c r="F693" s="8"/>
      <c r="G693" s="8"/>
      <c r="H693" s="9"/>
      <c r="I693" s="9"/>
      <c r="J693" s="9"/>
      <c r="K693" s="10"/>
      <c r="L693" s="10"/>
      <c r="M693" s="9"/>
      <c r="N693" s="9"/>
      <c r="O693" s="9"/>
      <c r="P69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3" s="9"/>
      <c r="R693" s="9"/>
      <c r="S693" s="9"/>
      <c r="T693" s="37"/>
      <c r="U693" s="37"/>
      <c r="V693" s="37"/>
      <c r="W693" s="37"/>
      <c r="X693" s="37"/>
      <c r="Y693" s="37"/>
      <c r="Z69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3" s="37"/>
      <c r="AB693" s="66" t="str">
        <f>IF(COUNTA(SalCommune[[#This Row],[Nom]:[heures annuelles
selon contrat(s)]])=0,"",SalCommune[[#This Row],[Total global]]-ABS(SalCommune[[#This Row],[Dont non opposable]]))</f>
        <v/>
      </c>
      <c r="AC693" s="8"/>
      <c r="AD693" s="63"/>
      <c r="AE693" s="430"/>
      <c r="AF693" s="430"/>
      <c r="AG693" s="430"/>
      <c r="AH693" s="181"/>
      <c r="AI693" s="194">
        <f>IF(COUNTA(SalCommune[[#This Row],[N°]:[heures annuelles
selon contrat(s)]])=0,"",REVEX!$E$9)</f>
        <v>0</v>
      </c>
      <c r="AJ693" s="72" t="str">
        <f>IF(SalCommune[[#This Row],[Allocations fonctions]]="","",IF(ISNA(VLOOKUP(SalCommune[[#This Row],[Allocations fonctions]],DROPDOWN[Dropdown82],1,FALSE))=TRUE,"&lt;-- Veuillez choisir l'allocation parmis la liste déroulante.",""))</f>
        <v/>
      </c>
    </row>
    <row r="694" spans="1:36" x14ac:dyDescent="0.25">
      <c r="A694" s="72" t="str">
        <f>IF(SalCommune[[#This Row],[Statut]]="","",IF(ISNA(VLOOKUP(SalCommune[[#This Row],[Statut]],'Grille communale'!$B$3:$B$5,1,FALSE))=TRUE,"Veuillez choisir le statut parmis la liste déroulante",""))</f>
        <v/>
      </c>
      <c r="B694" s="725" t="str">
        <f>IF(SalCommune[[#This Row],[Matricule]]="","",MAX($B$7:B693)+1)</f>
        <v/>
      </c>
      <c r="C694" s="8"/>
      <c r="D694" s="8"/>
      <c r="E694" s="20"/>
      <c r="F694" s="8"/>
      <c r="G694" s="8"/>
      <c r="H694" s="9"/>
      <c r="I694" s="9"/>
      <c r="J694" s="9"/>
      <c r="K694" s="10"/>
      <c r="L694" s="10"/>
      <c r="M694" s="9"/>
      <c r="N694" s="9"/>
      <c r="O694" s="9"/>
      <c r="P69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4" s="9"/>
      <c r="R694" s="9"/>
      <c r="S694" s="9"/>
      <c r="T694" s="37"/>
      <c r="U694" s="37"/>
      <c r="V694" s="37"/>
      <c r="W694" s="37"/>
      <c r="X694" s="37"/>
      <c r="Y694" s="37"/>
      <c r="Z69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4" s="37"/>
      <c r="AB694" s="66" t="str">
        <f>IF(COUNTA(SalCommune[[#This Row],[Nom]:[heures annuelles
selon contrat(s)]])=0,"",SalCommune[[#This Row],[Total global]]-ABS(SalCommune[[#This Row],[Dont non opposable]]))</f>
        <v/>
      </c>
      <c r="AC694" s="8"/>
      <c r="AD694" s="63"/>
      <c r="AE694" s="430"/>
      <c r="AF694" s="430"/>
      <c r="AG694" s="430"/>
      <c r="AH694" s="181"/>
      <c r="AI694" s="194">
        <f>IF(COUNTA(SalCommune[[#This Row],[N°]:[heures annuelles
selon contrat(s)]])=0,"",REVEX!$E$9)</f>
        <v>0</v>
      </c>
      <c r="AJ694" s="72" t="str">
        <f>IF(SalCommune[[#This Row],[Allocations fonctions]]="","",IF(ISNA(VLOOKUP(SalCommune[[#This Row],[Allocations fonctions]],DROPDOWN[Dropdown82],1,FALSE))=TRUE,"&lt;-- Veuillez choisir l'allocation parmis la liste déroulante.",""))</f>
        <v/>
      </c>
    </row>
    <row r="695" spans="1:36" x14ac:dyDescent="0.25">
      <c r="A695" s="72" t="str">
        <f>IF(SalCommune[[#This Row],[Statut]]="","",IF(ISNA(VLOOKUP(SalCommune[[#This Row],[Statut]],'Grille communale'!$B$3:$B$5,1,FALSE))=TRUE,"Veuillez choisir le statut parmis la liste déroulante",""))</f>
        <v/>
      </c>
      <c r="B695" s="725" t="str">
        <f>IF(SalCommune[[#This Row],[Matricule]]="","",MAX($B$7:B694)+1)</f>
        <v/>
      </c>
      <c r="C695" s="8"/>
      <c r="D695" s="8"/>
      <c r="E695" s="20"/>
      <c r="F695" s="8"/>
      <c r="G695" s="8"/>
      <c r="H695" s="9"/>
      <c r="I695" s="9"/>
      <c r="J695" s="9"/>
      <c r="K695" s="10"/>
      <c r="L695" s="10"/>
      <c r="M695" s="9"/>
      <c r="N695" s="9"/>
      <c r="O695" s="9"/>
      <c r="P69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5" s="9"/>
      <c r="R695" s="9"/>
      <c r="S695" s="9"/>
      <c r="T695" s="37"/>
      <c r="U695" s="37"/>
      <c r="V695" s="37"/>
      <c r="W695" s="37"/>
      <c r="X695" s="37"/>
      <c r="Y695" s="37"/>
      <c r="Z69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5" s="37"/>
      <c r="AB695" s="66" t="str">
        <f>IF(COUNTA(SalCommune[[#This Row],[Nom]:[heures annuelles
selon contrat(s)]])=0,"",SalCommune[[#This Row],[Total global]]-ABS(SalCommune[[#This Row],[Dont non opposable]]))</f>
        <v/>
      </c>
      <c r="AC695" s="8"/>
      <c r="AD695" s="63"/>
      <c r="AE695" s="430"/>
      <c r="AF695" s="430"/>
      <c r="AG695" s="430"/>
      <c r="AH695" s="181"/>
      <c r="AI695" s="194">
        <f>IF(COUNTA(SalCommune[[#This Row],[N°]:[heures annuelles
selon contrat(s)]])=0,"",REVEX!$E$9)</f>
        <v>0</v>
      </c>
      <c r="AJ695" s="72" t="str">
        <f>IF(SalCommune[[#This Row],[Allocations fonctions]]="","",IF(ISNA(VLOOKUP(SalCommune[[#This Row],[Allocations fonctions]],DROPDOWN[Dropdown82],1,FALSE))=TRUE,"&lt;-- Veuillez choisir l'allocation parmis la liste déroulante.",""))</f>
        <v/>
      </c>
    </row>
    <row r="696" spans="1:36" x14ac:dyDescent="0.25">
      <c r="A696" s="72" t="str">
        <f>IF(SalCommune[[#This Row],[Statut]]="","",IF(ISNA(VLOOKUP(SalCommune[[#This Row],[Statut]],'Grille communale'!$B$3:$B$5,1,FALSE))=TRUE,"Veuillez choisir le statut parmis la liste déroulante",""))</f>
        <v/>
      </c>
      <c r="B696" s="725" t="str">
        <f>IF(SalCommune[[#This Row],[Matricule]]="","",MAX($B$7:B695)+1)</f>
        <v/>
      </c>
      <c r="C696" s="8"/>
      <c r="D696" s="8"/>
      <c r="E696" s="20"/>
      <c r="F696" s="8"/>
      <c r="G696" s="8"/>
      <c r="H696" s="9"/>
      <c r="I696" s="9"/>
      <c r="J696" s="9"/>
      <c r="K696" s="10"/>
      <c r="L696" s="10"/>
      <c r="M696" s="9"/>
      <c r="N696" s="9"/>
      <c r="O696" s="9"/>
      <c r="P69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6" s="9"/>
      <c r="R696" s="9"/>
      <c r="S696" s="9"/>
      <c r="T696" s="37"/>
      <c r="U696" s="37"/>
      <c r="V696" s="37"/>
      <c r="W696" s="37"/>
      <c r="X696" s="37"/>
      <c r="Y696" s="37"/>
      <c r="Z69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6" s="37"/>
      <c r="AB696" s="66" t="str">
        <f>IF(COUNTA(SalCommune[[#This Row],[Nom]:[heures annuelles
selon contrat(s)]])=0,"",SalCommune[[#This Row],[Total global]]-ABS(SalCommune[[#This Row],[Dont non opposable]]))</f>
        <v/>
      </c>
      <c r="AC696" s="8"/>
      <c r="AD696" s="63"/>
      <c r="AE696" s="430"/>
      <c r="AF696" s="430"/>
      <c r="AG696" s="430"/>
      <c r="AH696" s="181"/>
      <c r="AI696" s="194">
        <f>IF(COUNTA(SalCommune[[#This Row],[N°]:[heures annuelles
selon contrat(s)]])=0,"",REVEX!$E$9)</f>
        <v>0</v>
      </c>
      <c r="AJ696" s="72" t="str">
        <f>IF(SalCommune[[#This Row],[Allocations fonctions]]="","",IF(ISNA(VLOOKUP(SalCommune[[#This Row],[Allocations fonctions]],DROPDOWN[Dropdown82],1,FALSE))=TRUE,"&lt;-- Veuillez choisir l'allocation parmis la liste déroulante.",""))</f>
        <v/>
      </c>
    </row>
    <row r="697" spans="1:36" x14ac:dyDescent="0.25">
      <c r="A697" s="72" t="str">
        <f>IF(SalCommune[[#This Row],[Statut]]="","",IF(ISNA(VLOOKUP(SalCommune[[#This Row],[Statut]],'Grille communale'!$B$3:$B$5,1,FALSE))=TRUE,"Veuillez choisir le statut parmis la liste déroulante",""))</f>
        <v/>
      </c>
      <c r="B697" s="725" t="str">
        <f>IF(SalCommune[[#This Row],[Matricule]]="","",MAX($B$7:B696)+1)</f>
        <v/>
      </c>
      <c r="C697" s="8"/>
      <c r="D697" s="8"/>
      <c r="E697" s="20"/>
      <c r="F697" s="8"/>
      <c r="G697" s="8"/>
      <c r="H697" s="9"/>
      <c r="I697" s="9"/>
      <c r="J697" s="9"/>
      <c r="K697" s="10"/>
      <c r="L697" s="10"/>
      <c r="M697" s="9"/>
      <c r="N697" s="9"/>
      <c r="O697" s="9"/>
      <c r="P69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7" s="9"/>
      <c r="R697" s="9"/>
      <c r="S697" s="9"/>
      <c r="T697" s="37"/>
      <c r="U697" s="37"/>
      <c r="V697" s="37"/>
      <c r="W697" s="37"/>
      <c r="X697" s="37"/>
      <c r="Y697" s="37"/>
      <c r="Z69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7" s="37"/>
      <c r="AB697" s="66" t="str">
        <f>IF(COUNTA(SalCommune[[#This Row],[Nom]:[heures annuelles
selon contrat(s)]])=0,"",SalCommune[[#This Row],[Total global]]-ABS(SalCommune[[#This Row],[Dont non opposable]]))</f>
        <v/>
      </c>
      <c r="AC697" s="8"/>
      <c r="AD697" s="63"/>
      <c r="AE697" s="430"/>
      <c r="AF697" s="430"/>
      <c r="AG697" s="430"/>
      <c r="AH697" s="181"/>
      <c r="AI697" s="194">
        <f>IF(COUNTA(SalCommune[[#This Row],[N°]:[heures annuelles
selon contrat(s)]])=0,"",REVEX!$E$9)</f>
        <v>0</v>
      </c>
      <c r="AJ697" s="72" t="str">
        <f>IF(SalCommune[[#This Row],[Allocations fonctions]]="","",IF(ISNA(VLOOKUP(SalCommune[[#This Row],[Allocations fonctions]],DROPDOWN[Dropdown82],1,FALSE))=TRUE,"&lt;-- Veuillez choisir l'allocation parmis la liste déroulante.",""))</f>
        <v/>
      </c>
    </row>
    <row r="698" spans="1:36" x14ac:dyDescent="0.25">
      <c r="A698" s="72" t="str">
        <f>IF(SalCommune[[#This Row],[Statut]]="","",IF(ISNA(VLOOKUP(SalCommune[[#This Row],[Statut]],'Grille communale'!$B$3:$B$5,1,FALSE))=TRUE,"Veuillez choisir le statut parmis la liste déroulante",""))</f>
        <v/>
      </c>
      <c r="B698" s="725" t="str">
        <f>IF(SalCommune[[#This Row],[Matricule]]="","",MAX($B$7:B697)+1)</f>
        <v/>
      </c>
      <c r="C698" s="8"/>
      <c r="D698" s="8"/>
      <c r="E698" s="20"/>
      <c r="F698" s="8"/>
      <c r="G698" s="8"/>
      <c r="H698" s="9"/>
      <c r="I698" s="9"/>
      <c r="J698" s="9"/>
      <c r="K698" s="10"/>
      <c r="L698" s="10"/>
      <c r="M698" s="9"/>
      <c r="N698" s="9"/>
      <c r="O698" s="9"/>
      <c r="P69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8" s="9"/>
      <c r="R698" s="9"/>
      <c r="S698" s="9"/>
      <c r="T698" s="37"/>
      <c r="U698" s="37"/>
      <c r="V698" s="37"/>
      <c r="W698" s="37"/>
      <c r="X698" s="37"/>
      <c r="Y698" s="37"/>
      <c r="Z69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8" s="37"/>
      <c r="AB698" s="66" t="str">
        <f>IF(COUNTA(SalCommune[[#This Row],[Nom]:[heures annuelles
selon contrat(s)]])=0,"",SalCommune[[#This Row],[Total global]]-ABS(SalCommune[[#This Row],[Dont non opposable]]))</f>
        <v/>
      </c>
      <c r="AC698" s="8"/>
      <c r="AD698" s="63"/>
      <c r="AE698" s="430"/>
      <c r="AF698" s="430"/>
      <c r="AG698" s="430"/>
      <c r="AH698" s="181"/>
      <c r="AI698" s="194">
        <f>IF(COUNTA(SalCommune[[#This Row],[N°]:[heures annuelles
selon contrat(s)]])=0,"",REVEX!$E$9)</f>
        <v>0</v>
      </c>
      <c r="AJ698" s="72" t="str">
        <f>IF(SalCommune[[#This Row],[Allocations fonctions]]="","",IF(ISNA(VLOOKUP(SalCommune[[#This Row],[Allocations fonctions]],DROPDOWN[Dropdown82],1,FALSE))=TRUE,"&lt;-- Veuillez choisir l'allocation parmis la liste déroulante.",""))</f>
        <v/>
      </c>
    </row>
    <row r="699" spans="1:36" x14ac:dyDescent="0.25">
      <c r="A699" s="72" t="str">
        <f>IF(SalCommune[[#This Row],[Statut]]="","",IF(ISNA(VLOOKUP(SalCommune[[#This Row],[Statut]],'Grille communale'!$B$3:$B$5,1,FALSE))=TRUE,"Veuillez choisir le statut parmis la liste déroulante",""))</f>
        <v/>
      </c>
      <c r="B699" s="725" t="str">
        <f>IF(SalCommune[[#This Row],[Matricule]]="","",MAX($B$7:B698)+1)</f>
        <v/>
      </c>
      <c r="C699" s="8"/>
      <c r="D699" s="8"/>
      <c r="E699" s="20"/>
      <c r="F699" s="8"/>
      <c r="G699" s="8"/>
      <c r="H699" s="9"/>
      <c r="I699" s="9"/>
      <c r="J699" s="9"/>
      <c r="K699" s="10"/>
      <c r="L699" s="10"/>
      <c r="M699" s="9"/>
      <c r="N699" s="9"/>
      <c r="O699" s="9"/>
      <c r="P69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699" s="9"/>
      <c r="R699" s="9"/>
      <c r="S699" s="9"/>
      <c r="T699" s="37"/>
      <c r="U699" s="37"/>
      <c r="V699" s="37"/>
      <c r="W699" s="37"/>
      <c r="X699" s="37"/>
      <c r="Y699" s="37"/>
      <c r="Z69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699" s="37"/>
      <c r="AB699" s="66" t="str">
        <f>IF(COUNTA(SalCommune[[#This Row],[Nom]:[heures annuelles
selon contrat(s)]])=0,"",SalCommune[[#This Row],[Total global]]-ABS(SalCommune[[#This Row],[Dont non opposable]]))</f>
        <v/>
      </c>
      <c r="AC699" s="8"/>
      <c r="AD699" s="63"/>
      <c r="AE699" s="430"/>
      <c r="AF699" s="430"/>
      <c r="AG699" s="430"/>
      <c r="AH699" s="181"/>
      <c r="AI699" s="194">
        <f>IF(COUNTA(SalCommune[[#This Row],[N°]:[heures annuelles
selon contrat(s)]])=0,"",REVEX!$E$9)</f>
        <v>0</v>
      </c>
      <c r="AJ699" s="72" t="str">
        <f>IF(SalCommune[[#This Row],[Allocations fonctions]]="","",IF(ISNA(VLOOKUP(SalCommune[[#This Row],[Allocations fonctions]],DROPDOWN[Dropdown82],1,FALSE))=TRUE,"&lt;-- Veuillez choisir l'allocation parmis la liste déroulante.",""))</f>
        <v/>
      </c>
    </row>
    <row r="700" spans="1:36" x14ac:dyDescent="0.25">
      <c r="A700" s="72" t="str">
        <f>IF(SalCommune[[#This Row],[Statut]]="","",IF(ISNA(VLOOKUP(SalCommune[[#This Row],[Statut]],'Grille communale'!$B$3:$B$5,1,FALSE))=TRUE,"Veuillez choisir le statut parmis la liste déroulante",""))</f>
        <v/>
      </c>
      <c r="B700" s="725" t="str">
        <f>IF(SalCommune[[#This Row],[Matricule]]="","",MAX($B$7:B699)+1)</f>
        <v/>
      </c>
      <c r="C700" s="8"/>
      <c r="D700" s="8"/>
      <c r="E700" s="20"/>
      <c r="F700" s="8"/>
      <c r="G700" s="8"/>
      <c r="H700" s="9"/>
      <c r="I700" s="9"/>
      <c r="J700" s="9"/>
      <c r="K700" s="10"/>
      <c r="L700" s="10"/>
      <c r="M700" s="9"/>
      <c r="N700" s="9"/>
      <c r="O700" s="9"/>
      <c r="P70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0" s="9"/>
      <c r="R700" s="9"/>
      <c r="S700" s="9"/>
      <c r="T700" s="37"/>
      <c r="U700" s="37"/>
      <c r="V700" s="37"/>
      <c r="W700" s="37"/>
      <c r="X700" s="37"/>
      <c r="Y700" s="37"/>
      <c r="Z70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0" s="37"/>
      <c r="AB700" s="66" t="str">
        <f>IF(COUNTA(SalCommune[[#This Row],[Nom]:[heures annuelles
selon contrat(s)]])=0,"",SalCommune[[#This Row],[Total global]]-ABS(SalCommune[[#This Row],[Dont non opposable]]))</f>
        <v/>
      </c>
      <c r="AC700" s="8"/>
      <c r="AD700" s="63"/>
      <c r="AE700" s="430"/>
      <c r="AF700" s="430"/>
      <c r="AG700" s="430"/>
      <c r="AH700" s="181"/>
      <c r="AI700" s="194">
        <f>IF(COUNTA(SalCommune[[#This Row],[N°]:[heures annuelles
selon contrat(s)]])=0,"",REVEX!$E$9)</f>
        <v>0</v>
      </c>
      <c r="AJ700" s="72" t="str">
        <f>IF(SalCommune[[#This Row],[Allocations fonctions]]="","",IF(ISNA(VLOOKUP(SalCommune[[#This Row],[Allocations fonctions]],DROPDOWN[Dropdown82],1,FALSE))=TRUE,"&lt;-- Veuillez choisir l'allocation parmis la liste déroulante.",""))</f>
        <v/>
      </c>
    </row>
    <row r="701" spans="1:36" x14ac:dyDescent="0.25">
      <c r="A701" s="72" t="str">
        <f>IF(SalCommune[[#This Row],[Statut]]="","",IF(ISNA(VLOOKUP(SalCommune[[#This Row],[Statut]],'Grille communale'!$B$3:$B$5,1,FALSE))=TRUE,"Veuillez choisir le statut parmis la liste déroulante",""))</f>
        <v/>
      </c>
      <c r="B701" s="725" t="str">
        <f>IF(SalCommune[[#This Row],[Matricule]]="","",MAX($B$7:B700)+1)</f>
        <v/>
      </c>
      <c r="C701" s="8"/>
      <c r="D701" s="8"/>
      <c r="E701" s="20"/>
      <c r="F701" s="8"/>
      <c r="G701" s="8"/>
      <c r="H701" s="9"/>
      <c r="I701" s="9"/>
      <c r="J701" s="9"/>
      <c r="K701" s="10"/>
      <c r="L701" s="10"/>
      <c r="M701" s="9"/>
      <c r="N701" s="9"/>
      <c r="O701" s="9"/>
      <c r="P70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1" s="9"/>
      <c r="R701" s="9"/>
      <c r="S701" s="9"/>
      <c r="T701" s="37"/>
      <c r="U701" s="37"/>
      <c r="V701" s="37"/>
      <c r="W701" s="37"/>
      <c r="X701" s="37"/>
      <c r="Y701" s="37"/>
      <c r="Z70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1" s="37"/>
      <c r="AB701" s="66" t="str">
        <f>IF(COUNTA(SalCommune[[#This Row],[Nom]:[heures annuelles
selon contrat(s)]])=0,"",SalCommune[[#This Row],[Total global]]-ABS(SalCommune[[#This Row],[Dont non opposable]]))</f>
        <v/>
      </c>
      <c r="AC701" s="8"/>
      <c r="AD701" s="63"/>
      <c r="AE701" s="430"/>
      <c r="AF701" s="430"/>
      <c r="AG701" s="430"/>
      <c r="AH701" s="181"/>
      <c r="AI701" s="194">
        <f>IF(COUNTA(SalCommune[[#This Row],[N°]:[heures annuelles
selon contrat(s)]])=0,"",REVEX!$E$9)</f>
        <v>0</v>
      </c>
      <c r="AJ701" s="72" t="str">
        <f>IF(SalCommune[[#This Row],[Allocations fonctions]]="","",IF(ISNA(VLOOKUP(SalCommune[[#This Row],[Allocations fonctions]],DROPDOWN[Dropdown82],1,FALSE))=TRUE,"&lt;-- Veuillez choisir l'allocation parmis la liste déroulante.",""))</f>
        <v/>
      </c>
    </row>
    <row r="702" spans="1:36" x14ac:dyDescent="0.25">
      <c r="A702" s="72" t="str">
        <f>IF(SalCommune[[#This Row],[Statut]]="","",IF(ISNA(VLOOKUP(SalCommune[[#This Row],[Statut]],'Grille communale'!$B$3:$B$5,1,FALSE))=TRUE,"Veuillez choisir le statut parmis la liste déroulante",""))</f>
        <v/>
      </c>
      <c r="B702" s="725" t="str">
        <f>IF(SalCommune[[#This Row],[Matricule]]="","",MAX($B$7:B701)+1)</f>
        <v/>
      </c>
      <c r="C702" s="8"/>
      <c r="D702" s="8"/>
      <c r="E702" s="20"/>
      <c r="F702" s="8"/>
      <c r="G702" s="8"/>
      <c r="H702" s="9"/>
      <c r="I702" s="9"/>
      <c r="J702" s="9"/>
      <c r="K702" s="10"/>
      <c r="L702" s="10"/>
      <c r="M702" s="9"/>
      <c r="N702" s="9"/>
      <c r="O702" s="9"/>
      <c r="P70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2" s="9"/>
      <c r="R702" s="9"/>
      <c r="S702" s="9"/>
      <c r="T702" s="37"/>
      <c r="U702" s="37"/>
      <c r="V702" s="37"/>
      <c r="W702" s="37"/>
      <c r="X702" s="37"/>
      <c r="Y702" s="37"/>
      <c r="Z70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2" s="37"/>
      <c r="AB702" s="66" t="str">
        <f>IF(COUNTA(SalCommune[[#This Row],[Nom]:[heures annuelles
selon contrat(s)]])=0,"",SalCommune[[#This Row],[Total global]]-ABS(SalCommune[[#This Row],[Dont non opposable]]))</f>
        <v/>
      </c>
      <c r="AC702" s="8"/>
      <c r="AD702" s="63"/>
      <c r="AE702" s="430"/>
      <c r="AF702" s="430"/>
      <c r="AG702" s="430"/>
      <c r="AH702" s="181"/>
      <c r="AI702" s="194">
        <f>IF(COUNTA(SalCommune[[#This Row],[N°]:[heures annuelles
selon contrat(s)]])=0,"",REVEX!$E$9)</f>
        <v>0</v>
      </c>
      <c r="AJ702" s="72" t="str">
        <f>IF(SalCommune[[#This Row],[Allocations fonctions]]="","",IF(ISNA(VLOOKUP(SalCommune[[#This Row],[Allocations fonctions]],DROPDOWN[Dropdown82],1,FALSE))=TRUE,"&lt;-- Veuillez choisir l'allocation parmis la liste déroulante.",""))</f>
        <v/>
      </c>
    </row>
    <row r="703" spans="1:36" x14ac:dyDescent="0.25">
      <c r="A703" s="72" t="str">
        <f>IF(SalCommune[[#This Row],[Statut]]="","",IF(ISNA(VLOOKUP(SalCommune[[#This Row],[Statut]],'Grille communale'!$B$3:$B$5,1,FALSE))=TRUE,"Veuillez choisir le statut parmis la liste déroulante",""))</f>
        <v/>
      </c>
      <c r="B703" s="725" t="str">
        <f>IF(SalCommune[[#This Row],[Matricule]]="","",MAX($B$7:B702)+1)</f>
        <v/>
      </c>
      <c r="C703" s="8"/>
      <c r="D703" s="8"/>
      <c r="E703" s="20"/>
      <c r="F703" s="8"/>
      <c r="G703" s="8"/>
      <c r="H703" s="9"/>
      <c r="I703" s="9"/>
      <c r="J703" s="9"/>
      <c r="K703" s="10"/>
      <c r="L703" s="10"/>
      <c r="M703" s="9"/>
      <c r="N703" s="9"/>
      <c r="O703" s="9"/>
      <c r="P70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3" s="9"/>
      <c r="R703" s="9"/>
      <c r="S703" s="9"/>
      <c r="T703" s="37"/>
      <c r="U703" s="37"/>
      <c r="V703" s="37"/>
      <c r="W703" s="37"/>
      <c r="X703" s="37"/>
      <c r="Y703" s="37"/>
      <c r="Z70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3" s="37"/>
      <c r="AB703" s="66" t="str">
        <f>IF(COUNTA(SalCommune[[#This Row],[Nom]:[heures annuelles
selon contrat(s)]])=0,"",SalCommune[[#This Row],[Total global]]-ABS(SalCommune[[#This Row],[Dont non opposable]]))</f>
        <v/>
      </c>
      <c r="AC703" s="8"/>
      <c r="AD703" s="63"/>
      <c r="AE703" s="430"/>
      <c r="AF703" s="430"/>
      <c r="AG703" s="430"/>
      <c r="AH703" s="181"/>
      <c r="AI703" s="194">
        <f>IF(COUNTA(SalCommune[[#This Row],[N°]:[heures annuelles
selon contrat(s)]])=0,"",REVEX!$E$9)</f>
        <v>0</v>
      </c>
      <c r="AJ703" s="72" t="str">
        <f>IF(SalCommune[[#This Row],[Allocations fonctions]]="","",IF(ISNA(VLOOKUP(SalCommune[[#This Row],[Allocations fonctions]],DROPDOWN[Dropdown82],1,FALSE))=TRUE,"&lt;-- Veuillez choisir l'allocation parmis la liste déroulante.",""))</f>
        <v/>
      </c>
    </row>
    <row r="704" spans="1:36" x14ac:dyDescent="0.25">
      <c r="A704" s="72" t="str">
        <f>IF(SalCommune[[#This Row],[Statut]]="","",IF(ISNA(VLOOKUP(SalCommune[[#This Row],[Statut]],'Grille communale'!$B$3:$B$5,1,FALSE))=TRUE,"Veuillez choisir le statut parmis la liste déroulante",""))</f>
        <v/>
      </c>
      <c r="B704" s="725" t="str">
        <f>IF(SalCommune[[#This Row],[Matricule]]="","",MAX($B$7:B703)+1)</f>
        <v/>
      </c>
      <c r="C704" s="8"/>
      <c r="D704" s="8"/>
      <c r="E704" s="20"/>
      <c r="F704" s="8"/>
      <c r="G704" s="8"/>
      <c r="H704" s="9"/>
      <c r="I704" s="9"/>
      <c r="J704" s="9"/>
      <c r="K704" s="10"/>
      <c r="L704" s="10"/>
      <c r="M704" s="9"/>
      <c r="N704" s="9"/>
      <c r="O704" s="9"/>
      <c r="P70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4" s="9"/>
      <c r="R704" s="9"/>
      <c r="S704" s="9"/>
      <c r="T704" s="37"/>
      <c r="U704" s="37"/>
      <c r="V704" s="37"/>
      <c r="W704" s="37"/>
      <c r="X704" s="37"/>
      <c r="Y704" s="37"/>
      <c r="Z70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4" s="37"/>
      <c r="AB704" s="66" t="str">
        <f>IF(COUNTA(SalCommune[[#This Row],[Nom]:[heures annuelles
selon contrat(s)]])=0,"",SalCommune[[#This Row],[Total global]]-ABS(SalCommune[[#This Row],[Dont non opposable]]))</f>
        <v/>
      </c>
      <c r="AC704" s="8"/>
      <c r="AD704" s="63"/>
      <c r="AE704" s="430"/>
      <c r="AF704" s="430"/>
      <c r="AG704" s="430"/>
      <c r="AH704" s="181"/>
      <c r="AI704" s="194">
        <f>IF(COUNTA(SalCommune[[#This Row],[N°]:[heures annuelles
selon contrat(s)]])=0,"",REVEX!$E$9)</f>
        <v>0</v>
      </c>
      <c r="AJ704" s="72" t="str">
        <f>IF(SalCommune[[#This Row],[Allocations fonctions]]="","",IF(ISNA(VLOOKUP(SalCommune[[#This Row],[Allocations fonctions]],DROPDOWN[Dropdown82],1,FALSE))=TRUE,"&lt;-- Veuillez choisir l'allocation parmis la liste déroulante.",""))</f>
        <v/>
      </c>
    </row>
    <row r="705" spans="1:36" x14ac:dyDescent="0.25">
      <c r="A705" s="72" t="str">
        <f>IF(SalCommune[[#This Row],[Statut]]="","",IF(ISNA(VLOOKUP(SalCommune[[#This Row],[Statut]],'Grille communale'!$B$3:$B$5,1,FALSE))=TRUE,"Veuillez choisir le statut parmis la liste déroulante",""))</f>
        <v/>
      </c>
      <c r="B705" s="725" t="str">
        <f>IF(SalCommune[[#This Row],[Matricule]]="","",MAX($B$7:B704)+1)</f>
        <v/>
      </c>
      <c r="C705" s="8"/>
      <c r="D705" s="8"/>
      <c r="E705" s="20"/>
      <c r="F705" s="8"/>
      <c r="G705" s="8"/>
      <c r="H705" s="9"/>
      <c r="I705" s="9"/>
      <c r="J705" s="9"/>
      <c r="K705" s="10"/>
      <c r="L705" s="10"/>
      <c r="M705" s="9"/>
      <c r="N705" s="9"/>
      <c r="O705" s="9"/>
      <c r="P70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5" s="9"/>
      <c r="R705" s="9"/>
      <c r="S705" s="9"/>
      <c r="T705" s="37"/>
      <c r="U705" s="37"/>
      <c r="V705" s="37"/>
      <c r="W705" s="37"/>
      <c r="X705" s="37"/>
      <c r="Y705" s="37"/>
      <c r="Z70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5" s="37"/>
      <c r="AB705" s="66" t="str">
        <f>IF(COUNTA(SalCommune[[#This Row],[Nom]:[heures annuelles
selon contrat(s)]])=0,"",SalCommune[[#This Row],[Total global]]-ABS(SalCommune[[#This Row],[Dont non opposable]]))</f>
        <v/>
      </c>
      <c r="AC705" s="8"/>
      <c r="AD705" s="63"/>
      <c r="AE705" s="430"/>
      <c r="AF705" s="430"/>
      <c r="AG705" s="430"/>
      <c r="AH705" s="181"/>
      <c r="AI705" s="194">
        <f>IF(COUNTA(SalCommune[[#This Row],[N°]:[heures annuelles
selon contrat(s)]])=0,"",REVEX!$E$9)</f>
        <v>0</v>
      </c>
      <c r="AJ705" s="72" t="str">
        <f>IF(SalCommune[[#This Row],[Allocations fonctions]]="","",IF(ISNA(VLOOKUP(SalCommune[[#This Row],[Allocations fonctions]],DROPDOWN[Dropdown82],1,FALSE))=TRUE,"&lt;-- Veuillez choisir l'allocation parmis la liste déroulante.",""))</f>
        <v/>
      </c>
    </row>
    <row r="706" spans="1:36" x14ac:dyDescent="0.25">
      <c r="A706" s="72" t="str">
        <f>IF(SalCommune[[#This Row],[Statut]]="","",IF(ISNA(VLOOKUP(SalCommune[[#This Row],[Statut]],'Grille communale'!$B$3:$B$5,1,FALSE))=TRUE,"Veuillez choisir le statut parmis la liste déroulante",""))</f>
        <v/>
      </c>
      <c r="B706" s="725" t="str">
        <f>IF(SalCommune[[#This Row],[Matricule]]="","",MAX($B$7:B705)+1)</f>
        <v/>
      </c>
      <c r="C706" s="8"/>
      <c r="D706" s="8"/>
      <c r="E706" s="20"/>
      <c r="F706" s="8"/>
      <c r="G706" s="8"/>
      <c r="H706" s="9"/>
      <c r="I706" s="9"/>
      <c r="J706" s="9"/>
      <c r="K706" s="10"/>
      <c r="L706" s="10"/>
      <c r="M706" s="9"/>
      <c r="N706" s="9"/>
      <c r="O706" s="9"/>
      <c r="P70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6" s="9"/>
      <c r="R706" s="9"/>
      <c r="S706" s="9"/>
      <c r="T706" s="37"/>
      <c r="U706" s="37"/>
      <c r="V706" s="37"/>
      <c r="W706" s="37"/>
      <c r="X706" s="37"/>
      <c r="Y706" s="37"/>
      <c r="Z70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6" s="37"/>
      <c r="AB706" s="66" t="str">
        <f>IF(COUNTA(SalCommune[[#This Row],[Nom]:[heures annuelles
selon contrat(s)]])=0,"",SalCommune[[#This Row],[Total global]]-ABS(SalCommune[[#This Row],[Dont non opposable]]))</f>
        <v/>
      </c>
      <c r="AC706" s="8"/>
      <c r="AD706" s="63"/>
      <c r="AE706" s="430"/>
      <c r="AF706" s="430"/>
      <c r="AG706" s="430"/>
      <c r="AH706" s="181"/>
      <c r="AI706" s="194">
        <f>IF(COUNTA(SalCommune[[#This Row],[N°]:[heures annuelles
selon contrat(s)]])=0,"",REVEX!$E$9)</f>
        <v>0</v>
      </c>
      <c r="AJ706" s="72" t="str">
        <f>IF(SalCommune[[#This Row],[Allocations fonctions]]="","",IF(ISNA(VLOOKUP(SalCommune[[#This Row],[Allocations fonctions]],DROPDOWN[Dropdown82],1,FALSE))=TRUE,"&lt;-- Veuillez choisir l'allocation parmis la liste déroulante.",""))</f>
        <v/>
      </c>
    </row>
    <row r="707" spans="1:36" x14ac:dyDescent="0.25">
      <c r="A707" s="72" t="str">
        <f>IF(SalCommune[[#This Row],[Statut]]="","",IF(ISNA(VLOOKUP(SalCommune[[#This Row],[Statut]],'Grille communale'!$B$3:$B$5,1,FALSE))=TRUE,"Veuillez choisir le statut parmis la liste déroulante",""))</f>
        <v/>
      </c>
      <c r="B707" s="725" t="str">
        <f>IF(SalCommune[[#This Row],[Matricule]]="","",MAX($B$7:B706)+1)</f>
        <v/>
      </c>
      <c r="C707" s="8"/>
      <c r="D707" s="8"/>
      <c r="E707" s="20"/>
      <c r="F707" s="8"/>
      <c r="G707" s="8"/>
      <c r="H707" s="9"/>
      <c r="I707" s="9"/>
      <c r="J707" s="9"/>
      <c r="K707" s="10"/>
      <c r="L707" s="10"/>
      <c r="M707" s="9"/>
      <c r="N707" s="9"/>
      <c r="O707" s="9"/>
      <c r="P70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7" s="9"/>
      <c r="R707" s="9"/>
      <c r="S707" s="9"/>
      <c r="T707" s="37"/>
      <c r="U707" s="37"/>
      <c r="V707" s="37"/>
      <c r="W707" s="37"/>
      <c r="X707" s="37"/>
      <c r="Y707" s="37"/>
      <c r="Z70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7" s="37"/>
      <c r="AB707" s="66" t="str">
        <f>IF(COUNTA(SalCommune[[#This Row],[Nom]:[heures annuelles
selon contrat(s)]])=0,"",SalCommune[[#This Row],[Total global]]-ABS(SalCommune[[#This Row],[Dont non opposable]]))</f>
        <v/>
      </c>
      <c r="AC707" s="8"/>
      <c r="AD707" s="63"/>
      <c r="AE707" s="430"/>
      <c r="AF707" s="430"/>
      <c r="AG707" s="430"/>
      <c r="AH707" s="181"/>
      <c r="AI707" s="194">
        <f>IF(COUNTA(SalCommune[[#This Row],[N°]:[heures annuelles
selon contrat(s)]])=0,"",REVEX!$E$9)</f>
        <v>0</v>
      </c>
      <c r="AJ707" s="72" t="str">
        <f>IF(SalCommune[[#This Row],[Allocations fonctions]]="","",IF(ISNA(VLOOKUP(SalCommune[[#This Row],[Allocations fonctions]],DROPDOWN[Dropdown82],1,FALSE))=TRUE,"&lt;-- Veuillez choisir l'allocation parmis la liste déroulante.",""))</f>
        <v/>
      </c>
    </row>
    <row r="708" spans="1:36" x14ac:dyDescent="0.25">
      <c r="A708" s="72" t="str">
        <f>IF(SalCommune[[#This Row],[Statut]]="","",IF(ISNA(VLOOKUP(SalCommune[[#This Row],[Statut]],'Grille communale'!$B$3:$B$5,1,FALSE))=TRUE,"Veuillez choisir le statut parmis la liste déroulante",""))</f>
        <v/>
      </c>
      <c r="B708" s="725" t="str">
        <f>IF(SalCommune[[#This Row],[Matricule]]="","",MAX($B$7:B707)+1)</f>
        <v/>
      </c>
      <c r="C708" s="8"/>
      <c r="D708" s="8"/>
      <c r="E708" s="20"/>
      <c r="F708" s="8"/>
      <c r="G708" s="8"/>
      <c r="H708" s="9"/>
      <c r="I708" s="9"/>
      <c r="J708" s="9"/>
      <c r="K708" s="10"/>
      <c r="L708" s="10"/>
      <c r="M708" s="9"/>
      <c r="N708" s="9"/>
      <c r="O708" s="9"/>
      <c r="P70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8" s="9"/>
      <c r="R708" s="9"/>
      <c r="S708" s="9"/>
      <c r="T708" s="37"/>
      <c r="U708" s="37"/>
      <c r="V708" s="37"/>
      <c r="W708" s="37"/>
      <c r="X708" s="37"/>
      <c r="Y708" s="37"/>
      <c r="Z70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8" s="37"/>
      <c r="AB708" s="66" t="str">
        <f>IF(COUNTA(SalCommune[[#This Row],[Nom]:[heures annuelles
selon contrat(s)]])=0,"",SalCommune[[#This Row],[Total global]]-ABS(SalCommune[[#This Row],[Dont non opposable]]))</f>
        <v/>
      </c>
      <c r="AC708" s="8"/>
      <c r="AD708" s="63"/>
      <c r="AE708" s="430"/>
      <c r="AF708" s="430"/>
      <c r="AG708" s="430"/>
      <c r="AH708" s="181"/>
      <c r="AI708" s="194">
        <f>IF(COUNTA(SalCommune[[#This Row],[N°]:[heures annuelles
selon contrat(s)]])=0,"",REVEX!$E$9)</f>
        <v>0</v>
      </c>
      <c r="AJ708" s="72" t="str">
        <f>IF(SalCommune[[#This Row],[Allocations fonctions]]="","",IF(ISNA(VLOOKUP(SalCommune[[#This Row],[Allocations fonctions]],DROPDOWN[Dropdown82],1,FALSE))=TRUE,"&lt;-- Veuillez choisir l'allocation parmis la liste déroulante.",""))</f>
        <v/>
      </c>
    </row>
    <row r="709" spans="1:36" x14ac:dyDescent="0.25">
      <c r="A709" s="72" t="str">
        <f>IF(SalCommune[[#This Row],[Statut]]="","",IF(ISNA(VLOOKUP(SalCommune[[#This Row],[Statut]],'Grille communale'!$B$3:$B$5,1,FALSE))=TRUE,"Veuillez choisir le statut parmis la liste déroulante",""))</f>
        <v/>
      </c>
      <c r="B709" s="725" t="str">
        <f>IF(SalCommune[[#This Row],[Matricule]]="","",MAX($B$7:B708)+1)</f>
        <v/>
      </c>
      <c r="C709" s="8"/>
      <c r="D709" s="8"/>
      <c r="E709" s="20"/>
      <c r="F709" s="8"/>
      <c r="G709" s="8"/>
      <c r="H709" s="9"/>
      <c r="I709" s="9"/>
      <c r="J709" s="9"/>
      <c r="K709" s="10"/>
      <c r="L709" s="10"/>
      <c r="M709" s="9"/>
      <c r="N709" s="9"/>
      <c r="O709" s="9"/>
      <c r="P70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09" s="9"/>
      <c r="R709" s="9"/>
      <c r="S709" s="9"/>
      <c r="T709" s="37"/>
      <c r="U709" s="37"/>
      <c r="V709" s="37"/>
      <c r="W709" s="37"/>
      <c r="X709" s="37"/>
      <c r="Y709" s="37"/>
      <c r="Z70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09" s="37"/>
      <c r="AB709" s="66" t="str">
        <f>IF(COUNTA(SalCommune[[#This Row],[Nom]:[heures annuelles
selon contrat(s)]])=0,"",SalCommune[[#This Row],[Total global]]-ABS(SalCommune[[#This Row],[Dont non opposable]]))</f>
        <v/>
      </c>
      <c r="AC709" s="8"/>
      <c r="AD709" s="63"/>
      <c r="AE709" s="430"/>
      <c r="AF709" s="430"/>
      <c r="AG709" s="430"/>
      <c r="AH709" s="181"/>
      <c r="AI709" s="194">
        <f>IF(COUNTA(SalCommune[[#This Row],[N°]:[heures annuelles
selon contrat(s)]])=0,"",REVEX!$E$9)</f>
        <v>0</v>
      </c>
      <c r="AJ709" s="72" t="str">
        <f>IF(SalCommune[[#This Row],[Allocations fonctions]]="","",IF(ISNA(VLOOKUP(SalCommune[[#This Row],[Allocations fonctions]],DROPDOWN[Dropdown82],1,FALSE))=TRUE,"&lt;-- Veuillez choisir l'allocation parmis la liste déroulante.",""))</f>
        <v/>
      </c>
    </row>
    <row r="710" spans="1:36" x14ac:dyDescent="0.25">
      <c r="A710" s="72" t="str">
        <f>IF(SalCommune[[#This Row],[Statut]]="","",IF(ISNA(VLOOKUP(SalCommune[[#This Row],[Statut]],'Grille communale'!$B$3:$B$5,1,FALSE))=TRUE,"Veuillez choisir le statut parmis la liste déroulante",""))</f>
        <v/>
      </c>
      <c r="B710" s="725" t="str">
        <f>IF(SalCommune[[#This Row],[Matricule]]="","",MAX($B$7:B709)+1)</f>
        <v/>
      </c>
      <c r="C710" s="8"/>
      <c r="D710" s="8"/>
      <c r="E710" s="20"/>
      <c r="F710" s="8"/>
      <c r="G710" s="8"/>
      <c r="H710" s="9"/>
      <c r="I710" s="9"/>
      <c r="J710" s="9"/>
      <c r="K710" s="10"/>
      <c r="L710" s="10"/>
      <c r="M710" s="9"/>
      <c r="N710" s="9"/>
      <c r="O710" s="9"/>
      <c r="P71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0" s="9"/>
      <c r="R710" s="9"/>
      <c r="S710" s="9"/>
      <c r="T710" s="37"/>
      <c r="U710" s="37"/>
      <c r="V710" s="37"/>
      <c r="W710" s="37"/>
      <c r="X710" s="37"/>
      <c r="Y710" s="37"/>
      <c r="Z71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0" s="37"/>
      <c r="AB710" s="66" t="str">
        <f>IF(COUNTA(SalCommune[[#This Row],[Nom]:[heures annuelles
selon contrat(s)]])=0,"",SalCommune[[#This Row],[Total global]]-ABS(SalCommune[[#This Row],[Dont non opposable]]))</f>
        <v/>
      </c>
      <c r="AC710" s="8"/>
      <c r="AD710" s="63"/>
      <c r="AE710" s="430"/>
      <c r="AF710" s="430"/>
      <c r="AG710" s="430"/>
      <c r="AH710" s="181"/>
      <c r="AI710" s="194">
        <f>IF(COUNTA(SalCommune[[#This Row],[N°]:[heures annuelles
selon contrat(s)]])=0,"",REVEX!$E$9)</f>
        <v>0</v>
      </c>
      <c r="AJ710" s="72" t="str">
        <f>IF(SalCommune[[#This Row],[Allocations fonctions]]="","",IF(ISNA(VLOOKUP(SalCommune[[#This Row],[Allocations fonctions]],DROPDOWN[Dropdown82],1,FALSE))=TRUE,"&lt;-- Veuillez choisir l'allocation parmis la liste déroulante.",""))</f>
        <v/>
      </c>
    </row>
    <row r="711" spans="1:36" x14ac:dyDescent="0.25">
      <c r="A711" s="72" t="str">
        <f>IF(SalCommune[[#This Row],[Statut]]="","",IF(ISNA(VLOOKUP(SalCommune[[#This Row],[Statut]],'Grille communale'!$B$3:$B$5,1,FALSE))=TRUE,"Veuillez choisir le statut parmis la liste déroulante",""))</f>
        <v/>
      </c>
      <c r="B711" s="725" t="str">
        <f>IF(SalCommune[[#This Row],[Matricule]]="","",MAX($B$7:B710)+1)</f>
        <v/>
      </c>
      <c r="C711" s="8"/>
      <c r="D711" s="8"/>
      <c r="E711" s="20"/>
      <c r="F711" s="8"/>
      <c r="G711" s="8"/>
      <c r="H711" s="9"/>
      <c r="I711" s="9"/>
      <c r="J711" s="9"/>
      <c r="K711" s="10"/>
      <c r="L711" s="10"/>
      <c r="M711" s="9"/>
      <c r="N711" s="9"/>
      <c r="O711" s="9"/>
      <c r="P71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1" s="9"/>
      <c r="R711" s="9"/>
      <c r="S711" s="9"/>
      <c r="T711" s="37"/>
      <c r="U711" s="37"/>
      <c r="V711" s="37"/>
      <c r="W711" s="37"/>
      <c r="X711" s="37"/>
      <c r="Y711" s="37"/>
      <c r="Z71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1" s="37"/>
      <c r="AB711" s="66" t="str">
        <f>IF(COUNTA(SalCommune[[#This Row],[Nom]:[heures annuelles
selon contrat(s)]])=0,"",SalCommune[[#This Row],[Total global]]-ABS(SalCommune[[#This Row],[Dont non opposable]]))</f>
        <v/>
      </c>
      <c r="AC711" s="8"/>
      <c r="AD711" s="63"/>
      <c r="AE711" s="430"/>
      <c r="AF711" s="430"/>
      <c r="AG711" s="430"/>
      <c r="AH711" s="181"/>
      <c r="AI711" s="194">
        <f>IF(COUNTA(SalCommune[[#This Row],[N°]:[heures annuelles
selon contrat(s)]])=0,"",REVEX!$E$9)</f>
        <v>0</v>
      </c>
      <c r="AJ711" s="72" t="str">
        <f>IF(SalCommune[[#This Row],[Allocations fonctions]]="","",IF(ISNA(VLOOKUP(SalCommune[[#This Row],[Allocations fonctions]],DROPDOWN[Dropdown82],1,FALSE))=TRUE,"&lt;-- Veuillez choisir l'allocation parmis la liste déroulante.",""))</f>
        <v/>
      </c>
    </row>
    <row r="712" spans="1:36" x14ac:dyDescent="0.25">
      <c r="A712" s="72" t="str">
        <f>IF(SalCommune[[#This Row],[Statut]]="","",IF(ISNA(VLOOKUP(SalCommune[[#This Row],[Statut]],'Grille communale'!$B$3:$B$5,1,FALSE))=TRUE,"Veuillez choisir le statut parmis la liste déroulante",""))</f>
        <v/>
      </c>
      <c r="B712" s="725" t="str">
        <f>IF(SalCommune[[#This Row],[Matricule]]="","",MAX($B$7:B711)+1)</f>
        <v/>
      </c>
      <c r="C712" s="8"/>
      <c r="D712" s="8"/>
      <c r="E712" s="20"/>
      <c r="F712" s="8"/>
      <c r="G712" s="8"/>
      <c r="H712" s="9"/>
      <c r="I712" s="9"/>
      <c r="J712" s="9"/>
      <c r="K712" s="10"/>
      <c r="L712" s="10"/>
      <c r="M712" s="9"/>
      <c r="N712" s="9"/>
      <c r="O712" s="9"/>
      <c r="P71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2" s="9"/>
      <c r="R712" s="9"/>
      <c r="S712" s="9"/>
      <c r="T712" s="37"/>
      <c r="U712" s="37"/>
      <c r="V712" s="37"/>
      <c r="W712" s="37"/>
      <c r="X712" s="37"/>
      <c r="Y712" s="37"/>
      <c r="Z71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2" s="37"/>
      <c r="AB712" s="66" t="str">
        <f>IF(COUNTA(SalCommune[[#This Row],[Nom]:[heures annuelles
selon contrat(s)]])=0,"",SalCommune[[#This Row],[Total global]]-ABS(SalCommune[[#This Row],[Dont non opposable]]))</f>
        <v/>
      </c>
      <c r="AC712" s="8"/>
      <c r="AD712" s="63"/>
      <c r="AE712" s="430"/>
      <c r="AF712" s="430"/>
      <c r="AG712" s="430"/>
      <c r="AH712" s="181"/>
      <c r="AI712" s="194">
        <f>IF(COUNTA(SalCommune[[#This Row],[N°]:[heures annuelles
selon contrat(s)]])=0,"",REVEX!$E$9)</f>
        <v>0</v>
      </c>
      <c r="AJ712" s="72" t="str">
        <f>IF(SalCommune[[#This Row],[Allocations fonctions]]="","",IF(ISNA(VLOOKUP(SalCommune[[#This Row],[Allocations fonctions]],DROPDOWN[Dropdown82],1,FALSE))=TRUE,"&lt;-- Veuillez choisir l'allocation parmis la liste déroulante.",""))</f>
        <v/>
      </c>
    </row>
    <row r="713" spans="1:36" x14ac:dyDescent="0.25">
      <c r="A713" s="72" t="str">
        <f>IF(SalCommune[[#This Row],[Statut]]="","",IF(ISNA(VLOOKUP(SalCommune[[#This Row],[Statut]],'Grille communale'!$B$3:$B$5,1,FALSE))=TRUE,"Veuillez choisir le statut parmis la liste déroulante",""))</f>
        <v/>
      </c>
      <c r="B713" s="725" t="str">
        <f>IF(SalCommune[[#This Row],[Matricule]]="","",MAX($B$7:B712)+1)</f>
        <v/>
      </c>
      <c r="C713" s="8"/>
      <c r="D713" s="8"/>
      <c r="E713" s="20"/>
      <c r="F713" s="8"/>
      <c r="G713" s="8"/>
      <c r="H713" s="9"/>
      <c r="I713" s="9"/>
      <c r="J713" s="9"/>
      <c r="K713" s="10"/>
      <c r="L713" s="10"/>
      <c r="M713" s="9"/>
      <c r="N713" s="9"/>
      <c r="O713" s="9"/>
      <c r="P71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3" s="9"/>
      <c r="R713" s="9"/>
      <c r="S713" s="9"/>
      <c r="T713" s="37"/>
      <c r="U713" s="37"/>
      <c r="V713" s="37"/>
      <c r="W713" s="37"/>
      <c r="X713" s="37"/>
      <c r="Y713" s="37"/>
      <c r="Z71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3" s="37"/>
      <c r="AB713" s="66" t="str">
        <f>IF(COUNTA(SalCommune[[#This Row],[Nom]:[heures annuelles
selon contrat(s)]])=0,"",SalCommune[[#This Row],[Total global]]-ABS(SalCommune[[#This Row],[Dont non opposable]]))</f>
        <v/>
      </c>
      <c r="AC713" s="8"/>
      <c r="AD713" s="63"/>
      <c r="AE713" s="430"/>
      <c r="AF713" s="430"/>
      <c r="AG713" s="430"/>
      <c r="AH713" s="181"/>
      <c r="AI713" s="194">
        <f>IF(COUNTA(SalCommune[[#This Row],[N°]:[heures annuelles
selon contrat(s)]])=0,"",REVEX!$E$9)</f>
        <v>0</v>
      </c>
      <c r="AJ713" s="72" t="str">
        <f>IF(SalCommune[[#This Row],[Allocations fonctions]]="","",IF(ISNA(VLOOKUP(SalCommune[[#This Row],[Allocations fonctions]],DROPDOWN[Dropdown82],1,FALSE))=TRUE,"&lt;-- Veuillez choisir l'allocation parmis la liste déroulante.",""))</f>
        <v/>
      </c>
    </row>
    <row r="714" spans="1:36" x14ac:dyDescent="0.25">
      <c r="A714" s="72" t="str">
        <f>IF(SalCommune[[#This Row],[Statut]]="","",IF(ISNA(VLOOKUP(SalCommune[[#This Row],[Statut]],'Grille communale'!$B$3:$B$5,1,FALSE))=TRUE,"Veuillez choisir le statut parmis la liste déroulante",""))</f>
        <v/>
      </c>
      <c r="B714" s="725" t="str">
        <f>IF(SalCommune[[#This Row],[Matricule]]="","",MAX($B$7:B713)+1)</f>
        <v/>
      </c>
      <c r="C714" s="8"/>
      <c r="D714" s="8"/>
      <c r="E714" s="20"/>
      <c r="F714" s="8"/>
      <c r="G714" s="8"/>
      <c r="H714" s="9"/>
      <c r="I714" s="9"/>
      <c r="J714" s="9"/>
      <c r="K714" s="10"/>
      <c r="L714" s="10"/>
      <c r="M714" s="9"/>
      <c r="N714" s="9"/>
      <c r="O714" s="9"/>
      <c r="P71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4" s="9"/>
      <c r="R714" s="9"/>
      <c r="S714" s="9"/>
      <c r="T714" s="37"/>
      <c r="U714" s="37"/>
      <c r="V714" s="37"/>
      <c r="W714" s="37"/>
      <c r="X714" s="37"/>
      <c r="Y714" s="37"/>
      <c r="Z71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4" s="37"/>
      <c r="AB714" s="66" t="str">
        <f>IF(COUNTA(SalCommune[[#This Row],[Nom]:[heures annuelles
selon contrat(s)]])=0,"",SalCommune[[#This Row],[Total global]]-ABS(SalCommune[[#This Row],[Dont non opposable]]))</f>
        <v/>
      </c>
      <c r="AC714" s="8"/>
      <c r="AD714" s="63"/>
      <c r="AE714" s="430"/>
      <c r="AF714" s="430"/>
      <c r="AG714" s="430"/>
      <c r="AH714" s="181"/>
      <c r="AI714" s="194">
        <f>IF(COUNTA(SalCommune[[#This Row],[N°]:[heures annuelles
selon contrat(s)]])=0,"",REVEX!$E$9)</f>
        <v>0</v>
      </c>
      <c r="AJ714" s="72" t="str">
        <f>IF(SalCommune[[#This Row],[Allocations fonctions]]="","",IF(ISNA(VLOOKUP(SalCommune[[#This Row],[Allocations fonctions]],DROPDOWN[Dropdown82],1,FALSE))=TRUE,"&lt;-- Veuillez choisir l'allocation parmis la liste déroulante.",""))</f>
        <v/>
      </c>
    </row>
    <row r="715" spans="1:36" x14ac:dyDescent="0.25">
      <c r="A715" s="72" t="str">
        <f>IF(SalCommune[[#This Row],[Statut]]="","",IF(ISNA(VLOOKUP(SalCommune[[#This Row],[Statut]],'Grille communale'!$B$3:$B$5,1,FALSE))=TRUE,"Veuillez choisir le statut parmis la liste déroulante",""))</f>
        <v/>
      </c>
      <c r="B715" s="725" t="str">
        <f>IF(SalCommune[[#This Row],[Matricule]]="","",MAX($B$7:B714)+1)</f>
        <v/>
      </c>
      <c r="C715" s="8"/>
      <c r="D715" s="8"/>
      <c r="E715" s="20"/>
      <c r="F715" s="8"/>
      <c r="G715" s="8"/>
      <c r="H715" s="9"/>
      <c r="I715" s="9"/>
      <c r="J715" s="9"/>
      <c r="K715" s="10"/>
      <c r="L715" s="10"/>
      <c r="M715" s="9"/>
      <c r="N715" s="9"/>
      <c r="O715" s="9"/>
      <c r="P71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5" s="9"/>
      <c r="R715" s="9"/>
      <c r="S715" s="9"/>
      <c r="T715" s="37"/>
      <c r="U715" s="37"/>
      <c r="V715" s="37"/>
      <c r="W715" s="37"/>
      <c r="X715" s="37"/>
      <c r="Y715" s="37"/>
      <c r="Z71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5" s="37"/>
      <c r="AB715" s="66" t="str">
        <f>IF(COUNTA(SalCommune[[#This Row],[Nom]:[heures annuelles
selon contrat(s)]])=0,"",SalCommune[[#This Row],[Total global]]-ABS(SalCommune[[#This Row],[Dont non opposable]]))</f>
        <v/>
      </c>
      <c r="AC715" s="8"/>
      <c r="AD715" s="63"/>
      <c r="AE715" s="430"/>
      <c r="AF715" s="430"/>
      <c r="AG715" s="430"/>
      <c r="AH715" s="181"/>
      <c r="AI715" s="194">
        <f>IF(COUNTA(SalCommune[[#This Row],[N°]:[heures annuelles
selon contrat(s)]])=0,"",REVEX!$E$9)</f>
        <v>0</v>
      </c>
      <c r="AJ715" s="72" t="str">
        <f>IF(SalCommune[[#This Row],[Allocations fonctions]]="","",IF(ISNA(VLOOKUP(SalCommune[[#This Row],[Allocations fonctions]],DROPDOWN[Dropdown82],1,FALSE))=TRUE,"&lt;-- Veuillez choisir l'allocation parmis la liste déroulante.",""))</f>
        <v/>
      </c>
    </row>
    <row r="716" spans="1:36" x14ac:dyDescent="0.25">
      <c r="A716" s="72" t="str">
        <f>IF(SalCommune[[#This Row],[Statut]]="","",IF(ISNA(VLOOKUP(SalCommune[[#This Row],[Statut]],'Grille communale'!$B$3:$B$5,1,FALSE))=TRUE,"Veuillez choisir le statut parmis la liste déroulante",""))</f>
        <v/>
      </c>
      <c r="B716" s="725" t="str">
        <f>IF(SalCommune[[#This Row],[Matricule]]="","",MAX($B$7:B715)+1)</f>
        <v/>
      </c>
      <c r="C716" s="8"/>
      <c r="D716" s="8"/>
      <c r="E716" s="20"/>
      <c r="F716" s="8"/>
      <c r="G716" s="8"/>
      <c r="H716" s="9"/>
      <c r="I716" s="9"/>
      <c r="J716" s="9"/>
      <c r="K716" s="10"/>
      <c r="L716" s="10"/>
      <c r="M716" s="9"/>
      <c r="N716" s="9"/>
      <c r="O716" s="9"/>
      <c r="P71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6" s="9"/>
      <c r="R716" s="9"/>
      <c r="S716" s="9"/>
      <c r="T716" s="37"/>
      <c r="U716" s="37"/>
      <c r="V716" s="37"/>
      <c r="W716" s="37"/>
      <c r="X716" s="37"/>
      <c r="Y716" s="37"/>
      <c r="Z71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6" s="37"/>
      <c r="AB716" s="66" t="str">
        <f>IF(COUNTA(SalCommune[[#This Row],[Nom]:[heures annuelles
selon contrat(s)]])=0,"",SalCommune[[#This Row],[Total global]]-ABS(SalCommune[[#This Row],[Dont non opposable]]))</f>
        <v/>
      </c>
      <c r="AC716" s="8"/>
      <c r="AD716" s="63"/>
      <c r="AE716" s="430"/>
      <c r="AF716" s="430"/>
      <c r="AG716" s="430"/>
      <c r="AH716" s="181"/>
      <c r="AI716" s="194">
        <f>IF(COUNTA(SalCommune[[#This Row],[N°]:[heures annuelles
selon contrat(s)]])=0,"",REVEX!$E$9)</f>
        <v>0</v>
      </c>
      <c r="AJ716" s="72" t="str">
        <f>IF(SalCommune[[#This Row],[Allocations fonctions]]="","",IF(ISNA(VLOOKUP(SalCommune[[#This Row],[Allocations fonctions]],DROPDOWN[Dropdown82],1,FALSE))=TRUE,"&lt;-- Veuillez choisir l'allocation parmis la liste déroulante.",""))</f>
        <v/>
      </c>
    </row>
    <row r="717" spans="1:36" x14ac:dyDescent="0.25">
      <c r="A717" s="72"/>
      <c r="B717" s="725" t="str">
        <f>IF(SalCommune[[#This Row],[Matricule]]="","",MAX($B$7:B716)+1)</f>
        <v/>
      </c>
      <c r="C717" s="8"/>
      <c r="D717" s="8"/>
      <c r="E717" s="20"/>
      <c r="F717" s="8"/>
      <c r="G717" s="8"/>
      <c r="H717" s="9"/>
      <c r="I717" s="9"/>
      <c r="J717" s="9"/>
      <c r="K717" s="714"/>
      <c r="L717" s="714"/>
      <c r="M717" s="9"/>
      <c r="N717" s="9"/>
      <c r="O717" s="9"/>
      <c r="P71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7" s="9"/>
      <c r="R717" s="9"/>
      <c r="S717" s="9"/>
      <c r="T717" s="37"/>
      <c r="U717" s="37"/>
      <c r="V717" s="37"/>
      <c r="W717" s="37"/>
      <c r="X717" s="37"/>
      <c r="Y717" s="37"/>
      <c r="Z71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7" s="37"/>
      <c r="AB717" s="713" t="str">
        <f>IF(COUNTA(SalCommune[[#This Row],[Nom]:[heures annuelles
selon contrat(s)]])=0,"",SalCommune[[#This Row],[Total global]]-ABS(SalCommune[[#This Row],[Dont non opposable]]))</f>
        <v/>
      </c>
      <c r="AC717" s="8"/>
      <c r="AD717" s="63"/>
      <c r="AE717" s="430"/>
      <c r="AF717" s="430"/>
      <c r="AG717" s="430"/>
      <c r="AH717" s="181"/>
      <c r="AI717" s="194">
        <f>IF(COUNTA(SalCommune[[#This Row],[N°]:[heures annuelles
selon contrat(s)]])=0,"",REVEX!$E$9)</f>
        <v>0</v>
      </c>
      <c r="AJ717" s="72"/>
    </row>
    <row r="718" spans="1:36" x14ac:dyDescent="0.25">
      <c r="A718" s="72"/>
      <c r="B718" s="725" t="str">
        <f>IF(SalCommune[[#This Row],[Matricule]]="","",MAX($B$7:B717)+1)</f>
        <v/>
      </c>
      <c r="C718" s="8"/>
      <c r="D718" s="8"/>
      <c r="E718" s="20"/>
      <c r="F718" s="8"/>
      <c r="G718" s="8"/>
      <c r="H718" s="9"/>
      <c r="I718" s="9"/>
      <c r="J718" s="9"/>
      <c r="K718" s="714"/>
      <c r="L718" s="714"/>
      <c r="M718" s="9"/>
      <c r="N718" s="9"/>
      <c r="O718" s="9"/>
      <c r="P71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8" s="9"/>
      <c r="R718" s="9"/>
      <c r="S718" s="9"/>
      <c r="T718" s="37"/>
      <c r="U718" s="37"/>
      <c r="V718" s="37"/>
      <c r="W718" s="37"/>
      <c r="X718" s="37"/>
      <c r="Y718" s="37"/>
      <c r="Z71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8" s="37"/>
      <c r="AB718" s="713" t="str">
        <f>IF(COUNTA(SalCommune[[#This Row],[Nom]:[heures annuelles
selon contrat(s)]])=0,"",SalCommune[[#This Row],[Total global]]-ABS(SalCommune[[#This Row],[Dont non opposable]]))</f>
        <v/>
      </c>
      <c r="AC718" s="8"/>
      <c r="AD718" s="63"/>
      <c r="AE718" s="430"/>
      <c r="AF718" s="430"/>
      <c r="AG718" s="430"/>
      <c r="AH718" s="181"/>
      <c r="AI718" s="194">
        <f>IF(COUNTA(SalCommune[[#This Row],[N°]:[heures annuelles
selon contrat(s)]])=0,"",REVEX!$E$9)</f>
        <v>0</v>
      </c>
      <c r="AJ718" s="72"/>
    </row>
    <row r="719" spans="1:36" x14ac:dyDescent="0.25">
      <c r="A719" s="72"/>
      <c r="B719" s="725" t="str">
        <f>IF(SalCommune[[#This Row],[Matricule]]="","",MAX($B$7:B718)+1)</f>
        <v/>
      </c>
      <c r="C719" s="8"/>
      <c r="D719" s="8"/>
      <c r="E719" s="20"/>
      <c r="F719" s="8"/>
      <c r="G719" s="8"/>
      <c r="H719" s="9"/>
      <c r="I719" s="9"/>
      <c r="J719" s="9"/>
      <c r="K719" s="714"/>
      <c r="L719" s="714"/>
      <c r="M719" s="9"/>
      <c r="N719" s="9"/>
      <c r="O719" s="9"/>
      <c r="P71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19" s="9"/>
      <c r="R719" s="9"/>
      <c r="S719" s="9"/>
      <c r="T719" s="37"/>
      <c r="U719" s="37"/>
      <c r="V719" s="37"/>
      <c r="W719" s="37"/>
      <c r="X719" s="37"/>
      <c r="Y719" s="37"/>
      <c r="Z71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19" s="37"/>
      <c r="AB719" s="713" t="str">
        <f>IF(COUNTA(SalCommune[[#This Row],[Nom]:[heures annuelles
selon contrat(s)]])=0,"",SalCommune[[#This Row],[Total global]]-ABS(SalCommune[[#This Row],[Dont non opposable]]))</f>
        <v/>
      </c>
      <c r="AC719" s="8"/>
      <c r="AD719" s="63"/>
      <c r="AE719" s="430"/>
      <c r="AF719" s="430"/>
      <c r="AG719" s="430"/>
      <c r="AH719" s="181"/>
      <c r="AI719" s="194">
        <f>IF(COUNTA(SalCommune[[#This Row],[N°]:[heures annuelles
selon contrat(s)]])=0,"",REVEX!$E$9)</f>
        <v>0</v>
      </c>
      <c r="AJ719" s="72"/>
    </row>
    <row r="720" spans="1:36" x14ac:dyDescent="0.25">
      <c r="A720" s="72"/>
      <c r="B720" s="725" t="str">
        <f>IF(SalCommune[[#This Row],[Matricule]]="","",MAX($B$7:B719)+1)</f>
        <v/>
      </c>
      <c r="C720" s="8"/>
      <c r="D720" s="8"/>
      <c r="E720" s="20"/>
      <c r="F720" s="8"/>
      <c r="G720" s="8"/>
      <c r="H720" s="9"/>
      <c r="I720" s="9"/>
      <c r="J720" s="9"/>
      <c r="K720" s="714"/>
      <c r="L720" s="714"/>
      <c r="M720" s="9"/>
      <c r="N720" s="9"/>
      <c r="O720" s="9"/>
      <c r="P72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0" s="9"/>
      <c r="R720" s="9"/>
      <c r="S720" s="9"/>
      <c r="T720" s="37"/>
      <c r="U720" s="37"/>
      <c r="V720" s="37"/>
      <c r="W720" s="37"/>
      <c r="X720" s="37"/>
      <c r="Y720" s="37"/>
      <c r="Z72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0" s="37"/>
      <c r="AB720" s="713" t="str">
        <f>IF(COUNTA(SalCommune[[#This Row],[Nom]:[heures annuelles
selon contrat(s)]])=0,"",SalCommune[[#This Row],[Total global]]-ABS(SalCommune[[#This Row],[Dont non opposable]]))</f>
        <v/>
      </c>
      <c r="AC720" s="8"/>
      <c r="AD720" s="63"/>
      <c r="AE720" s="430"/>
      <c r="AF720" s="430"/>
      <c r="AG720" s="430"/>
      <c r="AH720" s="181"/>
      <c r="AI720" s="194">
        <f>IF(COUNTA(SalCommune[[#This Row],[N°]:[heures annuelles
selon contrat(s)]])=0,"",REVEX!$E$9)</f>
        <v>0</v>
      </c>
      <c r="AJ720" s="72"/>
    </row>
    <row r="721" spans="1:36" x14ac:dyDescent="0.25">
      <c r="A721" s="72"/>
      <c r="B721" s="725" t="str">
        <f>IF(SalCommune[[#This Row],[Matricule]]="","",MAX($B$7:B720)+1)</f>
        <v/>
      </c>
      <c r="C721" s="8"/>
      <c r="D721" s="8"/>
      <c r="E721" s="20"/>
      <c r="F721" s="8"/>
      <c r="G721" s="8"/>
      <c r="H721" s="9"/>
      <c r="I721" s="9"/>
      <c r="J721" s="9"/>
      <c r="K721" s="714"/>
      <c r="L721" s="714"/>
      <c r="M721" s="9"/>
      <c r="N721" s="9"/>
      <c r="O721" s="9"/>
      <c r="P72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1" s="9"/>
      <c r="R721" s="9"/>
      <c r="S721" s="9"/>
      <c r="T721" s="37"/>
      <c r="U721" s="37"/>
      <c r="V721" s="37"/>
      <c r="W721" s="37"/>
      <c r="X721" s="37"/>
      <c r="Y721" s="37"/>
      <c r="Z72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1" s="37"/>
      <c r="AB721" s="713" t="str">
        <f>IF(COUNTA(SalCommune[[#This Row],[Nom]:[heures annuelles
selon contrat(s)]])=0,"",SalCommune[[#This Row],[Total global]]-ABS(SalCommune[[#This Row],[Dont non opposable]]))</f>
        <v/>
      </c>
      <c r="AC721" s="8"/>
      <c r="AD721" s="63"/>
      <c r="AE721" s="430"/>
      <c r="AF721" s="430"/>
      <c r="AG721" s="430"/>
      <c r="AH721" s="181"/>
      <c r="AI721" s="194">
        <f>IF(COUNTA(SalCommune[[#This Row],[N°]:[heures annuelles
selon contrat(s)]])=0,"",REVEX!$E$9)</f>
        <v>0</v>
      </c>
      <c r="AJ721" s="72"/>
    </row>
    <row r="722" spans="1:36" x14ac:dyDescent="0.25">
      <c r="A722" s="72"/>
      <c r="B722" s="725" t="str">
        <f>IF(SalCommune[[#This Row],[Matricule]]="","",MAX($B$7:B721)+1)</f>
        <v/>
      </c>
      <c r="C722" s="8"/>
      <c r="D722" s="8"/>
      <c r="E722" s="20"/>
      <c r="F722" s="8"/>
      <c r="G722" s="8"/>
      <c r="H722" s="9"/>
      <c r="I722" s="9"/>
      <c r="J722" s="9"/>
      <c r="K722" s="714"/>
      <c r="L722" s="714"/>
      <c r="M722" s="9"/>
      <c r="N722" s="9"/>
      <c r="O722" s="9"/>
      <c r="P72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2" s="9"/>
      <c r="R722" s="9"/>
      <c r="S722" s="9"/>
      <c r="T722" s="37"/>
      <c r="U722" s="37"/>
      <c r="V722" s="37"/>
      <c r="W722" s="37"/>
      <c r="X722" s="37"/>
      <c r="Y722" s="37"/>
      <c r="Z72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2" s="37"/>
      <c r="AB722" s="713" t="str">
        <f>IF(COUNTA(SalCommune[[#This Row],[Nom]:[heures annuelles
selon contrat(s)]])=0,"",SalCommune[[#This Row],[Total global]]-ABS(SalCommune[[#This Row],[Dont non opposable]]))</f>
        <v/>
      </c>
      <c r="AC722" s="8"/>
      <c r="AD722" s="63"/>
      <c r="AE722" s="430"/>
      <c r="AF722" s="430"/>
      <c r="AG722" s="430"/>
      <c r="AH722" s="181"/>
      <c r="AI722" s="194">
        <f>IF(COUNTA(SalCommune[[#This Row],[N°]:[heures annuelles
selon contrat(s)]])=0,"",REVEX!$E$9)</f>
        <v>0</v>
      </c>
      <c r="AJ722" s="72"/>
    </row>
    <row r="723" spans="1:36" x14ac:dyDescent="0.25">
      <c r="A723" s="72"/>
      <c r="B723" s="725" t="str">
        <f>IF(SalCommune[[#This Row],[Matricule]]="","",MAX($B$7:B722)+1)</f>
        <v/>
      </c>
      <c r="C723" s="8"/>
      <c r="D723" s="8"/>
      <c r="E723" s="20"/>
      <c r="F723" s="8"/>
      <c r="G723" s="8"/>
      <c r="H723" s="9"/>
      <c r="I723" s="9"/>
      <c r="J723" s="9"/>
      <c r="K723" s="714"/>
      <c r="L723" s="714"/>
      <c r="M723" s="9"/>
      <c r="N723" s="9"/>
      <c r="O723" s="9"/>
      <c r="P72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3" s="9"/>
      <c r="R723" s="9"/>
      <c r="S723" s="9"/>
      <c r="T723" s="37"/>
      <c r="U723" s="37"/>
      <c r="V723" s="37"/>
      <c r="W723" s="37"/>
      <c r="X723" s="37"/>
      <c r="Y723" s="37"/>
      <c r="Z72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3" s="37"/>
      <c r="AB723" s="713" t="str">
        <f>IF(COUNTA(SalCommune[[#This Row],[Nom]:[heures annuelles
selon contrat(s)]])=0,"",SalCommune[[#This Row],[Total global]]-ABS(SalCommune[[#This Row],[Dont non opposable]]))</f>
        <v/>
      </c>
      <c r="AC723" s="8"/>
      <c r="AD723" s="63"/>
      <c r="AE723" s="430"/>
      <c r="AF723" s="430"/>
      <c r="AG723" s="430"/>
      <c r="AH723" s="181"/>
      <c r="AI723" s="194">
        <f>IF(COUNTA(SalCommune[[#This Row],[N°]:[heures annuelles
selon contrat(s)]])=0,"",REVEX!$E$9)</f>
        <v>0</v>
      </c>
      <c r="AJ723" s="72"/>
    </row>
    <row r="724" spans="1:36" x14ac:dyDescent="0.25">
      <c r="A724" s="72"/>
      <c r="B724" s="725" t="str">
        <f>IF(SalCommune[[#This Row],[Matricule]]="","",MAX($B$7:B723)+1)</f>
        <v/>
      </c>
      <c r="C724" s="8"/>
      <c r="D724" s="8"/>
      <c r="E724" s="20"/>
      <c r="F724" s="8"/>
      <c r="G724" s="8"/>
      <c r="H724" s="9"/>
      <c r="I724" s="9"/>
      <c r="J724" s="9"/>
      <c r="K724" s="714"/>
      <c r="L724" s="714"/>
      <c r="M724" s="9"/>
      <c r="N724" s="9"/>
      <c r="O724" s="9"/>
      <c r="P72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4" s="9"/>
      <c r="R724" s="9"/>
      <c r="S724" s="9"/>
      <c r="T724" s="37"/>
      <c r="U724" s="37"/>
      <c r="V724" s="37"/>
      <c r="W724" s="37"/>
      <c r="X724" s="37"/>
      <c r="Y724" s="37"/>
      <c r="Z72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4" s="37"/>
      <c r="AB724" s="713" t="str">
        <f>IF(COUNTA(SalCommune[[#This Row],[Nom]:[heures annuelles
selon contrat(s)]])=0,"",SalCommune[[#This Row],[Total global]]-ABS(SalCommune[[#This Row],[Dont non opposable]]))</f>
        <v/>
      </c>
      <c r="AC724" s="8"/>
      <c r="AD724" s="63"/>
      <c r="AE724" s="430"/>
      <c r="AF724" s="430"/>
      <c r="AG724" s="430"/>
      <c r="AH724" s="181"/>
      <c r="AI724" s="194">
        <f>IF(COUNTA(SalCommune[[#This Row],[N°]:[heures annuelles
selon contrat(s)]])=0,"",REVEX!$E$9)</f>
        <v>0</v>
      </c>
      <c r="AJ724" s="72"/>
    </row>
    <row r="725" spans="1:36" x14ac:dyDescent="0.25">
      <c r="A725" s="72"/>
      <c r="B725" s="725" t="str">
        <f>IF(SalCommune[[#This Row],[Matricule]]="","",MAX($B$7:B724)+1)</f>
        <v/>
      </c>
      <c r="C725" s="8"/>
      <c r="D725" s="8"/>
      <c r="E725" s="20"/>
      <c r="F725" s="8"/>
      <c r="G725" s="8"/>
      <c r="H725" s="9"/>
      <c r="I725" s="9"/>
      <c r="J725" s="9"/>
      <c r="K725" s="714"/>
      <c r="L725" s="714"/>
      <c r="M725" s="9"/>
      <c r="N725" s="9"/>
      <c r="O725" s="9"/>
      <c r="P72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5" s="9"/>
      <c r="R725" s="9"/>
      <c r="S725" s="9"/>
      <c r="T725" s="37"/>
      <c r="U725" s="37"/>
      <c r="V725" s="37"/>
      <c r="W725" s="37"/>
      <c r="X725" s="37"/>
      <c r="Y725" s="37"/>
      <c r="Z72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5" s="37"/>
      <c r="AB725" s="713" t="str">
        <f>IF(COUNTA(SalCommune[[#This Row],[Nom]:[heures annuelles
selon contrat(s)]])=0,"",SalCommune[[#This Row],[Total global]]-ABS(SalCommune[[#This Row],[Dont non opposable]]))</f>
        <v/>
      </c>
      <c r="AC725" s="8"/>
      <c r="AD725" s="63"/>
      <c r="AE725" s="430"/>
      <c r="AF725" s="430"/>
      <c r="AG725" s="430"/>
      <c r="AH725" s="181"/>
      <c r="AI725" s="194">
        <f>IF(COUNTA(SalCommune[[#This Row],[N°]:[heures annuelles
selon contrat(s)]])=0,"",REVEX!$E$9)</f>
        <v>0</v>
      </c>
      <c r="AJ725" s="72"/>
    </row>
    <row r="726" spans="1:36" x14ac:dyDescent="0.25">
      <c r="A726" s="72"/>
      <c r="B726" s="725" t="str">
        <f>IF(SalCommune[[#This Row],[Matricule]]="","",MAX($B$7:B725)+1)</f>
        <v/>
      </c>
      <c r="C726" s="8"/>
      <c r="D726" s="8"/>
      <c r="E726" s="20"/>
      <c r="F726" s="8"/>
      <c r="G726" s="8"/>
      <c r="H726" s="9"/>
      <c r="I726" s="9"/>
      <c r="J726" s="9"/>
      <c r="K726" s="714"/>
      <c r="L726" s="714"/>
      <c r="M726" s="9"/>
      <c r="N726" s="9"/>
      <c r="O726" s="9"/>
      <c r="P72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6" s="9"/>
      <c r="R726" s="9"/>
      <c r="S726" s="9"/>
      <c r="T726" s="37"/>
      <c r="U726" s="37"/>
      <c r="V726" s="37"/>
      <c r="W726" s="37"/>
      <c r="X726" s="37"/>
      <c r="Y726" s="37"/>
      <c r="Z72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6" s="37"/>
      <c r="AB726" s="713" t="str">
        <f>IF(COUNTA(SalCommune[[#This Row],[Nom]:[heures annuelles
selon contrat(s)]])=0,"",SalCommune[[#This Row],[Total global]]-ABS(SalCommune[[#This Row],[Dont non opposable]]))</f>
        <v/>
      </c>
      <c r="AC726" s="8"/>
      <c r="AD726" s="63"/>
      <c r="AE726" s="430"/>
      <c r="AF726" s="430"/>
      <c r="AG726" s="430"/>
      <c r="AH726" s="181"/>
      <c r="AI726" s="194">
        <f>IF(COUNTA(SalCommune[[#This Row],[N°]:[heures annuelles
selon contrat(s)]])=0,"",REVEX!$E$9)</f>
        <v>0</v>
      </c>
      <c r="AJ726" s="72"/>
    </row>
    <row r="727" spans="1:36" x14ac:dyDescent="0.25">
      <c r="A727" s="72"/>
      <c r="B727" s="725" t="str">
        <f>IF(SalCommune[[#This Row],[Matricule]]="","",MAX($B$7:B726)+1)</f>
        <v/>
      </c>
      <c r="C727" s="8"/>
      <c r="D727" s="8"/>
      <c r="E727" s="20"/>
      <c r="F727" s="8"/>
      <c r="G727" s="8"/>
      <c r="H727" s="9"/>
      <c r="I727" s="9"/>
      <c r="J727" s="9"/>
      <c r="K727" s="714"/>
      <c r="L727" s="714"/>
      <c r="M727" s="9"/>
      <c r="N727" s="9"/>
      <c r="O727" s="9"/>
      <c r="P72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7" s="9"/>
      <c r="R727" s="9"/>
      <c r="S727" s="9"/>
      <c r="T727" s="37"/>
      <c r="U727" s="37"/>
      <c r="V727" s="37"/>
      <c r="W727" s="37"/>
      <c r="X727" s="37"/>
      <c r="Y727" s="37"/>
      <c r="Z72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7" s="37"/>
      <c r="AB727" s="713" t="str">
        <f>IF(COUNTA(SalCommune[[#This Row],[Nom]:[heures annuelles
selon contrat(s)]])=0,"",SalCommune[[#This Row],[Total global]]-ABS(SalCommune[[#This Row],[Dont non opposable]]))</f>
        <v/>
      </c>
      <c r="AC727" s="8"/>
      <c r="AD727" s="63"/>
      <c r="AE727" s="430"/>
      <c r="AF727" s="430"/>
      <c r="AG727" s="430"/>
      <c r="AH727" s="181"/>
      <c r="AI727" s="194">
        <f>IF(COUNTA(SalCommune[[#This Row],[N°]:[heures annuelles
selon contrat(s)]])=0,"",REVEX!$E$9)</f>
        <v>0</v>
      </c>
      <c r="AJ727" s="72"/>
    </row>
    <row r="728" spans="1:36" x14ac:dyDescent="0.25">
      <c r="A728" s="72"/>
      <c r="B728" s="725" t="str">
        <f>IF(SalCommune[[#This Row],[Matricule]]="","",MAX($B$7:B727)+1)</f>
        <v/>
      </c>
      <c r="C728" s="8"/>
      <c r="D728" s="8"/>
      <c r="E728" s="20"/>
      <c r="F728" s="8"/>
      <c r="G728" s="8"/>
      <c r="H728" s="9"/>
      <c r="I728" s="9"/>
      <c r="J728" s="9"/>
      <c r="K728" s="714"/>
      <c r="L728" s="714"/>
      <c r="M728" s="9"/>
      <c r="N728" s="9"/>
      <c r="O728" s="9"/>
      <c r="P72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8" s="9"/>
      <c r="R728" s="9"/>
      <c r="S728" s="9"/>
      <c r="T728" s="37"/>
      <c r="U728" s="37"/>
      <c r="V728" s="37"/>
      <c r="W728" s="37"/>
      <c r="X728" s="37"/>
      <c r="Y728" s="37"/>
      <c r="Z72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8" s="37"/>
      <c r="AB728" s="713" t="str">
        <f>IF(COUNTA(SalCommune[[#This Row],[Nom]:[heures annuelles
selon contrat(s)]])=0,"",SalCommune[[#This Row],[Total global]]-ABS(SalCommune[[#This Row],[Dont non opposable]]))</f>
        <v/>
      </c>
      <c r="AC728" s="8"/>
      <c r="AD728" s="63"/>
      <c r="AE728" s="430"/>
      <c r="AF728" s="430"/>
      <c r="AG728" s="430"/>
      <c r="AH728" s="181"/>
      <c r="AI728" s="194">
        <f>IF(COUNTA(SalCommune[[#This Row],[N°]:[heures annuelles
selon contrat(s)]])=0,"",REVEX!$E$9)</f>
        <v>0</v>
      </c>
      <c r="AJ728" s="72"/>
    </row>
    <row r="729" spans="1:36" x14ac:dyDescent="0.25">
      <c r="A729" s="72"/>
      <c r="B729" s="725" t="str">
        <f>IF(SalCommune[[#This Row],[Matricule]]="","",MAX($B$7:B728)+1)</f>
        <v/>
      </c>
      <c r="C729" s="8"/>
      <c r="D729" s="8"/>
      <c r="E729" s="20"/>
      <c r="F729" s="8"/>
      <c r="G729" s="8"/>
      <c r="H729" s="9"/>
      <c r="I729" s="9"/>
      <c r="J729" s="9"/>
      <c r="K729" s="714"/>
      <c r="L729" s="714"/>
      <c r="M729" s="9"/>
      <c r="N729" s="9"/>
      <c r="O729" s="9"/>
      <c r="P72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29" s="9"/>
      <c r="R729" s="9"/>
      <c r="S729" s="9"/>
      <c r="T729" s="37"/>
      <c r="U729" s="37"/>
      <c r="V729" s="37"/>
      <c r="W729" s="37"/>
      <c r="X729" s="37"/>
      <c r="Y729" s="37"/>
      <c r="Z72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29" s="37"/>
      <c r="AB729" s="713" t="str">
        <f>IF(COUNTA(SalCommune[[#This Row],[Nom]:[heures annuelles
selon contrat(s)]])=0,"",SalCommune[[#This Row],[Total global]]-ABS(SalCommune[[#This Row],[Dont non opposable]]))</f>
        <v/>
      </c>
      <c r="AC729" s="8"/>
      <c r="AD729" s="63"/>
      <c r="AE729" s="430"/>
      <c r="AF729" s="430"/>
      <c r="AG729" s="430"/>
      <c r="AH729" s="181"/>
      <c r="AI729" s="194">
        <f>IF(COUNTA(SalCommune[[#This Row],[N°]:[heures annuelles
selon contrat(s)]])=0,"",REVEX!$E$9)</f>
        <v>0</v>
      </c>
      <c r="AJ729" s="72"/>
    </row>
    <row r="730" spans="1:36" x14ac:dyDescent="0.25">
      <c r="A730" s="72"/>
      <c r="B730" s="725" t="str">
        <f>IF(SalCommune[[#This Row],[Matricule]]="","",MAX($B$7:B729)+1)</f>
        <v/>
      </c>
      <c r="C730" s="8"/>
      <c r="D730" s="8"/>
      <c r="E730" s="20"/>
      <c r="F730" s="8"/>
      <c r="G730" s="8"/>
      <c r="H730" s="9"/>
      <c r="I730" s="9"/>
      <c r="J730" s="9"/>
      <c r="K730" s="714"/>
      <c r="L730" s="714"/>
      <c r="M730" s="9"/>
      <c r="N730" s="9"/>
      <c r="O730" s="9"/>
      <c r="P73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0" s="9"/>
      <c r="R730" s="9"/>
      <c r="S730" s="9"/>
      <c r="T730" s="37"/>
      <c r="U730" s="37"/>
      <c r="V730" s="37"/>
      <c r="W730" s="37"/>
      <c r="X730" s="37"/>
      <c r="Y730" s="37"/>
      <c r="Z73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0" s="37"/>
      <c r="AB730" s="713" t="str">
        <f>IF(COUNTA(SalCommune[[#This Row],[Nom]:[heures annuelles
selon contrat(s)]])=0,"",SalCommune[[#This Row],[Total global]]-ABS(SalCommune[[#This Row],[Dont non opposable]]))</f>
        <v/>
      </c>
      <c r="AC730" s="8"/>
      <c r="AD730" s="63"/>
      <c r="AE730" s="430"/>
      <c r="AF730" s="430"/>
      <c r="AG730" s="430"/>
      <c r="AH730" s="181"/>
      <c r="AI730" s="194">
        <f>IF(COUNTA(SalCommune[[#This Row],[N°]:[heures annuelles
selon contrat(s)]])=0,"",REVEX!$E$9)</f>
        <v>0</v>
      </c>
      <c r="AJ730" s="72"/>
    </row>
    <row r="731" spans="1:36" x14ac:dyDescent="0.25">
      <c r="A731" s="72"/>
      <c r="B731" s="725" t="str">
        <f>IF(SalCommune[[#This Row],[Matricule]]="","",MAX($B$7:B730)+1)</f>
        <v/>
      </c>
      <c r="C731" s="8"/>
      <c r="D731" s="8"/>
      <c r="E731" s="20"/>
      <c r="F731" s="8"/>
      <c r="G731" s="8"/>
      <c r="H731" s="9"/>
      <c r="I731" s="9"/>
      <c r="J731" s="9"/>
      <c r="K731" s="714"/>
      <c r="L731" s="714"/>
      <c r="M731" s="9"/>
      <c r="N731" s="9"/>
      <c r="O731" s="9"/>
      <c r="P73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1" s="9"/>
      <c r="R731" s="9"/>
      <c r="S731" s="9"/>
      <c r="T731" s="37"/>
      <c r="U731" s="37"/>
      <c r="V731" s="37"/>
      <c r="W731" s="37"/>
      <c r="X731" s="37"/>
      <c r="Y731" s="37"/>
      <c r="Z73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1" s="37"/>
      <c r="AB731" s="713" t="str">
        <f>IF(COUNTA(SalCommune[[#This Row],[Nom]:[heures annuelles
selon contrat(s)]])=0,"",SalCommune[[#This Row],[Total global]]-ABS(SalCommune[[#This Row],[Dont non opposable]]))</f>
        <v/>
      </c>
      <c r="AC731" s="8"/>
      <c r="AD731" s="63"/>
      <c r="AE731" s="430"/>
      <c r="AF731" s="430"/>
      <c r="AG731" s="430"/>
      <c r="AH731" s="181"/>
      <c r="AI731" s="194">
        <f>IF(COUNTA(SalCommune[[#This Row],[N°]:[heures annuelles
selon contrat(s)]])=0,"",REVEX!$E$9)</f>
        <v>0</v>
      </c>
      <c r="AJ731" s="72"/>
    </row>
    <row r="732" spans="1:36" x14ac:dyDescent="0.25">
      <c r="A732" s="72"/>
      <c r="B732" s="725" t="str">
        <f>IF(SalCommune[[#This Row],[Matricule]]="","",MAX($B$7:B731)+1)</f>
        <v/>
      </c>
      <c r="C732" s="8"/>
      <c r="D732" s="8"/>
      <c r="E732" s="20"/>
      <c r="F732" s="8"/>
      <c r="G732" s="8"/>
      <c r="H732" s="9"/>
      <c r="I732" s="9"/>
      <c r="J732" s="9"/>
      <c r="K732" s="714"/>
      <c r="L732" s="714"/>
      <c r="M732" s="9"/>
      <c r="N732" s="9"/>
      <c r="O732" s="9"/>
      <c r="P73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2" s="9"/>
      <c r="R732" s="9"/>
      <c r="S732" s="9"/>
      <c r="T732" s="37"/>
      <c r="U732" s="37"/>
      <c r="V732" s="37"/>
      <c r="W732" s="37"/>
      <c r="X732" s="37"/>
      <c r="Y732" s="37"/>
      <c r="Z73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2" s="37"/>
      <c r="AB732" s="713" t="str">
        <f>IF(COUNTA(SalCommune[[#This Row],[Nom]:[heures annuelles
selon contrat(s)]])=0,"",SalCommune[[#This Row],[Total global]]-ABS(SalCommune[[#This Row],[Dont non opposable]]))</f>
        <v/>
      </c>
      <c r="AC732" s="8"/>
      <c r="AD732" s="63"/>
      <c r="AE732" s="430"/>
      <c r="AF732" s="430"/>
      <c r="AG732" s="430"/>
      <c r="AH732" s="181"/>
      <c r="AI732" s="194">
        <f>IF(COUNTA(SalCommune[[#This Row],[N°]:[heures annuelles
selon contrat(s)]])=0,"",REVEX!$E$9)</f>
        <v>0</v>
      </c>
      <c r="AJ732" s="72"/>
    </row>
    <row r="733" spans="1:36" x14ac:dyDescent="0.25">
      <c r="A733" s="72"/>
      <c r="B733" s="725" t="str">
        <f>IF(SalCommune[[#This Row],[Matricule]]="","",MAX($B$7:B732)+1)</f>
        <v/>
      </c>
      <c r="C733" s="8"/>
      <c r="D733" s="8"/>
      <c r="E733" s="20"/>
      <c r="F733" s="8"/>
      <c r="G733" s="8"/>
      <c r="H733" s="9"/>
      <c r="I733" s="9"/>
      <c r="J733" s="9"/>
      <c r="K733" s="714"/>
      <c r="L733" s="714"/>
      <c r="M733" s="9"/>
      <c r="N733" s="9"/>
      <c r="O733" s="9"/>
      <c r="P73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3" s="9"/>
      <c r="R733" s="9"/>
      <c r="S733" s="9"/>
      <c r="T733" s="37"/>
      <c r="U733" s="37"/>
      <c r="V733" s="37"/>
      <c r="W733" s="37"/>
      <c r="X733" s="37"/>
      <c r="Y733" s="37"/>
      <c r="Z73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3" s="37"/>
      <c r="AB733" s="713" t="str">
        <f>IF(COUNTA(SalCommune[[#This Row],[Nom]:[heures annuelles
selon contrat(s)]])=0,"",SalCommune[[#This Row],[Total global]]-ABS(SalCommune[[#This Row],[Dont non opposable]]))</f>
        <v/>
      </c>
      <c r="AC733" s="8"/>
      <c r="AD733" s="63"/>
      <c r="AE733" s="430"/>
      <c r="AF733" s="430"/>
      <c r="AG733" s="430"/>
      <c r="AH733" s="181"/>
      <c r="AI733" s="194">
        <f>IF(COUNTA(SalCommune[[#This Row],[N°]:[heures annuelles
selon contrat(s)]])=0,"",REVEX!$E$9)</f>
        <v>0</v>
      </c>
      <c r="AJ733" s="72"/>
    </row>
    <row r="734" spans="1:36" x14ac:dyDescent="0.25">
      <c r="A734" s="72"/>
      <c r="B734" s="725" t="str">
        <f>IF(SalCommune[[#This Row],[Matricule]]="","",MAX($B$7:B733)+1)</f>
        <v/>
      </c>
      <c r="C734" s="8"/>
      <c r="D734" s="8"/>
      <c r="E734" s="20"/>
      <c r="F734" s="8"/>
      <c r="G734" s="8"/>
      <c r="H734" s="9"/>
      <c r="I734" s="9"/>
      <c r="J734" s="9"/>
      <c r="K734" s="714"/>
      <c r="L734" s="714"/>
      <c r="M734" s="9"/>
      <c r="N734" s="9"/>
      <c r="O734" s="9"/>
      <c r="P734"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4" s="9"/>
      <c r="R734" s="9"/>
      <c r="S734" s="9"/>
      <c r="T734" s="37"/>
      <c r="U734" s="37"/>
      <c r="V734" s="37"/>
      <c r="W734" s="37"/>
      <c r="X734" s="37"/>
      <c r="Y734" s="37"/>
      <c r="Z734"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4" s="37"/>
      <c r="AB734" s="713" t="str">
        <f>IF(COUNTA(SalCommune[[#This Row],[Nom]:[heures annuelles
selon contrat(s)]])=0,"",SalCommune[[#This Row],[Total global]]-ABS(SalCommune[[#This Row],[Dont non opposable]]))</f>
        <v/>
      </c>
      <c r="AC734" s="8"/>
      <c r="AD734" s="63"/>
      <c r="AE734" s="430"/>
      <c r="AF734" s="430"/>
      <c r="AG734" s="430"/>
      <c r="AH734" s="181"/>
      <c r="AI734" s="194">
        <f>IF(COUNTA(SalCommune[[#This Row],[N°]:[heures annuelles
selon contrat(s)]])=0,"",REVEX!$E$9)</f>
        <v>0</v>
      </c>
      <c r="AJ734" s="72"/>
    </row>
    <row r="735" spans="1:36" x14ac:dyDescent="0.25">
      <c r="A735" s="72"/>
      <c r="B735" s="725" t="str">
        <f>IF(SalCommune[[#This Row],[Matricule]]="","",MAX($B$7:B734)+1)</f>
        <v/>
      </c>
      <c r="C735" s="8"/>
      <c r="D735" s="8"/>
      <c r="E735" s="20"/>
      <c r="F735" s="8"/>
      <c r="G735" s="8"/>
      <c r="H735" s="9"/>
      <c r="I735" s="9"/>
      <c r="J735" s="9"/>
      <c r="K735" s="714"/>
      <c r="L735" s="714"/>
      <c r="M735" s="9"/>
      <c r="N735" s="9"/>
      <c r="O735" s="9"/>
      <c r="P735"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5" s="9"/>
      <c r="R735" s="9"/>
      <c r="S735" s="9"/>
      <c r="T735" s="37"/>
      <c r="U735" s="37"/>
      <c r="V735" s="37"/>
      <c r="W735" s="37"/>
      <c r="X735" s="37"/>
      <c r="Y735" s="37"/>
      <c r="Z735"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5" s="37"/>
      <c r="AB735" s="713" t="str">
        <f>IF(COUNTA(SalCommune[[#This Row],[Nom]:[heures annuelles
selon contrat(s)]])=0,"",SalCommune[[#This Row],[Total global]]-ABS(SalCommune[[#This Row],[Dont non opposable]]))</f>
        <v/>
      </c>
      <c r="AC735" s="8"/>
      <c r="AD735" s="63"/>
      <c r="AE735" s="430"/>
      <c r="AF735" s="430"/>
      <c r="AG735" s="430"/>
      <c r="AH735" s="181"/>
      <c r="AI735" s="194">
        <f>IF(COUNTA(SalCommune[[#This Row],[N°]:[heures annuelles
selon contrat(s)]])=0,"",REVEX!$E$9)</f>
        <v>0</v>
      </c>
      <c r="AJ735" s="72"/>
    </row>
    <row r="736" spans="1:36" x14ac:dyDescent="0.25">
      <c r="A736" s="72"/>
      <c r="B736" s="725" t="str">
        <f>IF(SalCommune[[#This Row],[Matricule]]="","",MAX($B$7:B735)+1)</f>
        <v/>
      </c>
      <c r="C736" s="8"/>
      <c r="D736" s="8"/>
      <c r="E736" s="20"/>
      <c r="F736" s="8"/>
      <c r="G736" s="8"/>
      <c r="H736" s="9"/>
      <c r="I736" s="9"/>
      <c r="J736" s="9"/>
      <c r="K736" s="714"/>
      <c r="L736" s="714"/>
      <c r="M736" s="9"/>
      <c r="N736" s="9"/>
      <c r="O736" s="9"/>
      <c r="P736"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6" s="9"/>
      <c r="R736" s="9"/>
      <c r="S736" s="9"/>
      <c r="T736" s="37"/>
      <c r="U736" s="37"/>
      <c r="V736" s="37"/>
      <c r="W736" s="37"/>
      <c r="X736" s="37"/>
      <c r="Y736" s="37"/>
      <c r="Z736"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6" s="37"/>
      <c r="AB736" s="713" t="str">
        <f>IF(COUNTA(SalCommune[[#This Row],[Nom]:[heures annuelles
selon contrat(s)]])=0,"",SalCommune[[#This Row],[Total global]]-ABS(SalCommune[[#This Row],[Dont non opposable]]))</f>
        <v/>
      </c>
      <c r="AC736" s="8"/>
      <c r="AD736" s="63"/>
      <c r="AE736" s="430"/>
      <c r="AF736" s="430"/>
      <c r="AG736" s="430"/>
      <c r="AH736" s="181"/>
      <c r="AI736" s="194">
        <f>IF(COUNTA(SalCommune[[#This Row],[N°]:[heures annuelles
selon contrat(s)]])=0,"",REVEX!$E$9)</f>
        <v>0</v>
      </c>
      <c r="AJ736" s="72"/>
    </row>
    <row r="737" spans="1:36" x14ac:dyDescent="0.25">
      <c r="A737" s="72"/>
      <c r="B737" s="725" t="str">
        <f>IF(SalCommune[[#This Row],[Matricule]]="","",MAX($B$7:B736)+1)</f>
        <v/>
      </c>
      <c r="C737" s="8"/>
      <c r="D737" s="8"/>
      <c r="E737" s="20"/>
      <c r="F737" s="8"/>
      <c r="G737" s="8"/>
      <c r="H737" s="9"/>
      <c r="I737" s="9"/>
      <c r="J737" s="9"/>
      <c r="K737" s="714"/>
      <c r="L737" s="714"/>
      <c r="M737" s="9"/>
      <c r="N737" s="9"/>
      <c r="O737" s="9"/>
      <c r="P737"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7" s="9"/>
      <c r="R737" s="9"/>
      <c r="S737" s="9"/>
      <c r="T737" s="37"/>
      <c r="U737" s="37"/>
      <c r="V737" s="37"/>
      <c r="W737" s="37"/>
      <c r="X737" s="37"/>
      <c r="Y737" s="37"/>
      <c r="Z737"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7" s="37"/>
      <c r="AB737" s="713" t="str">
        <f>IF(COUNTA(SalCommune[[#This Row],[Nom]:[heures annuelles
selon contrat(s)]])=0,"",SalCommune[[#This Row],[Total global]]-ABS(SalCommune[[#This Row],[Dont non opposable]]))</f>
        <v/>
      </c>
      <c r="AC737" s="8"/>
      <c r="AD737" s="63"/>
      <c r="AE737" s="430"/>
      <c r="AF737" s="430"/>
      <c r="AG737" s="430"/>
      <c r="AH737" s="181"/>
      <c r="AI737" s="194">
        <f>IF(COUNTA(SalCommune[[#This Row],[N°]:[heures annuelles
selon contrat(s)]])=0,"",REVEX!$E$9)</f>
        <v>0</v>
      </c>
      <c r="AJ737" s="72"/>
    </row>
    <row r="738" spans="1:36" x14ac:dyDescent="0.25">
      <c r="A738" s="72"/>
      <c r="B738" s="725" t="str">
        <f>IF(SalCommune[[#This Row],[Matricule]]="","",MAX($B$7:B737)+1)</f>
        <v/>
      </c>
      <c r="C738" s="8"/>
      <c r="D738" s="8"/>
      <c r="E738" s="20"/>
      <c r="F738" s="8"/>
      <c r="G738" s="8"/>
      <c r="H738" s="9"/>
      <c r="I738" s="9"/>
      <c r="J738" s="9"/>
      <c r="K738" s="714"/>
      <c r="L738" s="714"/>
      <c r="M738" s="9"/>
      <c r="N738" s="9"/>
      <c r="O738" s="9"/>
      <c r="P738"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8" s="9"/>
      <c r="R738" s="9"/>
      <c r="S738" s="9"/>
      <c r="T738" s="37"/>
      <c r="U738" s="37"/>
      <c r="V738" s="37"/>
      <c r="W738" s="37"/>
      <c r="X738" s="37"/>
      <c r="Y738" s="37"/>
      <c r="Z738"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8" s="37"/>
      <c r="AB738" s="713" t="str">
        <f>IF(COUNTA(SalCommune[[#This Row],[Nom]:[heures annuelles
selon contrat(s)]])=0,"",SalCommune[[#This Row],[Total global]]-ABS(SalCommune[[#This Row],[Dont non opposable]]))</f>
        <v/>
      </c>
      <c r="AC738" s="8"/>
      <c r="AD738" s="63"/>
      <c r="AE738" s="430"/>
      <c r="AF738" s="430"/>
      <c r="AG738" s="430"/>
      <c r="AH738" s="181"/>
      <c r="AI738" s="194">
        <f>IF(COUNTA(SalCommune[[#This Row],[N°]:[heures annuelles
selon contrat(s)]])=0,"",REVEX!$E$9)</f>
        <v>0</v>
      </c>
      <c r="AJ738" s="72"/>
    </row>
    <row r="739" spans="1:36" x14ac:dyDescent="0.25">
      <c r="A739" s="72"/>
      <c r="B739" s="725" t="str">
        <f>IF(SalCommune[[#This Row],[Matricule]]="","",MAX($B$7:B738)+1)</f>
        <v/>
      </c>
      <c r="C739" s="8"/>
      <c r="D739" s="8"/>
      <c r="E739" s="20"/>
      <c r="F739" s="8"/>
      <c r="G739" s="8"/>
      <c r="H739" s="9"/>
      <c r="I739" s="9"/>
      <c r="J739" s="9"/>
      <c r="K739" s="714"/>
      <c r="L739" s="714"/>
      <c r="M739" s="9"/>
      <c r="N739" s="9"/>
      <c r="O739" s="9"/>
      <c r="P739"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39" s="9"/>
      <c r="R739" s="9"/>
      <c r="S739" s="9"/>
      <c r="T739" s="37"/>
      <c r="U739" s="37"/>
      <c r="V739" s="37"/>
      <c r="W739" s="37"/>
      <c r="X739" s="37"/>
      <c r="Y739" s="37"/>
      <c r="Z739"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39" s="37"/>
      <c r="AB739" s="713" t="str">
        <f>IF(COUNTA(SalCommune[[#This Row],[Nom]:[heures annuelles
selon contrat(s)]])=0,"",SalCommune[[#This Row],[Total global]]-ABS(SalCommune[[#This Row],[Dont non opposable]]))</f>
        <v/>
      </c>
      <c r="AC739" s="8"/>
      <c r="AD739" s="63"/>
      <c r="AE739" s="430"/>
      <c r="AF739" s="430"/>
      <c r="AG739" s="430"/>
      <c r="AH739" s="181"/>
      <c r="AI739" s="194">
        <f>IF(COUNTA(SalCommune[[#This Row],[N°]:[heures annuelles
selon contrat(s)]])=0,"",REVEX!$E$9)</f>
        <v>0</v>
      </c>
      <c r="AJ739" s="72"/>
    </row>
    <row r="740" spans="1:36" x14ac:dyDescent="0.25">
      <c r="A740" s="72"/>
      <c r="B740" s="725" t="str">
        <f>IF(SalCommune[[#This Row],[Matricule]]="","",MAX($B$7:B739)+1)</f>
        <v/>
      </c>
      <c r="C740" s="8"/>
      <c r="D740" s="8"/>
      <c r="E740" s="20"/>
      <c r="F740" s="8"/>
      <c r="G740" s="8"/>
      <c r="H740" s="9"/>
      <c r="I740" s="9"/>
      <c r="J740" s="9"/>
      <c r="K740" s="714"/>
      <c r="L740" s="714"/>
      <c r="M740" s="9"/>
      <c r="N740" s="9"/>
      <c r="O740" s="9"/>
      <c r="P740"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0" s="9"/>
      <c r="R740" s="9"/>
      <c r="S740" s="9"/>
      <c r="T740" s="37"/>
      <c r="U740" s="37"/>
      <c r="V740" s="37"/>
      <c r="W740" s="37"/>
      <c r="X740" s="37"/>
      <c r="Y740" s="37"/>
      <c r="Z740"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0" s="37"/>
      <c r="AB740" s="713" t="str">
        <f>IF(COUNTA(SalCommune[[#This Row],[Nom]:[heures annuelles
selon contrat(s)]])=0,"",SalCommune[[#This Row],[Total global]]-ABS(SalCommune[[#This Row],[Dont non opposable]]))</f>
        <v/>
      </c>
      <c r="AC740" s="8"/>
      <c r="AD740" s="63"/>
      <c r="AE740" s="430"/>
      <c r="AF740" s="430"/>
      <c r="AG740" s="430"/>
      <c r="AH740" s="181"/>
      <c r="AI740" s="194">
        <f>IF(COUNTA(SalCommune[[#This Row],[N°]:[heures annuelles
selon contrat(s)]])=0,"",REVEX!$E$9)</f>
        <v>0</v>
      </c>
      <c r="AJ740" s="72"/>
    </row>
    <row r="741" spans="1:36" x14ac:dyDescent="0.25">
      <c r="A741" s="72"/>
      <c r="B741" s="725" t="str">
        <f>IF(SalCommune[[#This Row],[Matricule]]="","",MAX($B$7:B740)+1)</f>
        <v/>
      </c>
      <c r="C741" s="8"/>
      <c r="D741" s="8"/>
      <c r="E741" s="20"/>
      <c r="F741" s="8"/>
      <c r="G741" s="8"/>
      <c r="H741" s="9"/>
      <c r="I741" s="9"/>
      <c r="J741" s="9"/>
      <c r="K741" s="714"/>
      <c r="L741" s="714"/>
      <c r="M741" s="9"/>
      <c r="N741" s="9"/>
      <c r="O741" s="9"/>
      <c r="P741"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1" s="9"/>
      <c r="R741" s="9"/>
      <c r="S741" s="9"/>
      <c r="T741" s="37"/>
      <c r="U741" s="37"/>
      <c r="V741" s="37"/>
      <c r="W741" s="37"/>
      <c r="X741" s="37"/>
      <c r="Y741" s="37"/>
      <c r="Z741"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1" s="37"/>
      <c r="AB741" s="713" t="str">
        <f>IF(COUNTA(SalCommune[[#This Row],[Nom]:[heures annuelles
selon contrat(s)]])=0,"",SalCommune[[#This Row],[Total global]]-ABS(SalCommune[[#This Row],[Dont non opposable]]))</f>
        <v/>
      </c>
      <c r="AC741" s="8"/>
      <c r="AD741" s="63"/>
      <c r="AE741" s="430"/>
      <c r="AF741" s="430"/>
      <c r="AG741" s="430"/>
      <c r="AH741" s="181"/>
      <c r="AI741" s="194">
        <f>IF(COUNTA(SalCommune[[#This Row],[N°]:[heures annuelles
selon contrat(s)]])=0,"",REVEX!$E$9)</f>
        <v>0</v>
      </c>
      <c r="AJ741" s="72"/>
    </row>
    <row r="742" spans="1:36" x14ac:dyDescent="0.25">
      <c r="A742" s="72"/>
      <c r="B742" s="725" t="str">
        <f>IF(SalCommune[[#This Row],[Matricule]]="","",MAX($B$7:B741)+1)</f>
        <v/>
      </c>
      <c r="C742" s="8"/>
      <c r="D742" s="8"/>
      <c r="E742" s="20"/>
      <c r="F742" s="8"/>
      <c r="G742" s="8"/>
      <c r="H742" s="9"/>
      <c r="I742" s="9"/>
      <c r="J742" s="9"/>
      <c r="K742" s="714"/>
      <c r="L742" s="714"/>
      <c r="M742" s="9"/>
      <c r="N742" s="9"/>
      <c r="O742" s="9"/>
      <c r="P742"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2" s="9"/>
      <c r="R742" s="9"/>
      <c r="S742" s="9"/>
      <c r="T742" s="37"/>
      <c r="U742" s="37"/>
      <c r="V742" s="37"/>
      <c r="W742" s="37"/>
      <c r="X742" s="37"/>
      <c r="Y742" s="37"/>
      <c r="Z742"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2" s="37"/>
      <c r="AB742" s="713" t="str">
        <f>IF(COUNTA(SalCommune[[#This Row],[Nom]:[heures annuelles
selon contrat(s)]])=0,"",SalCommune[[#This Row],[Total global]]-ABS(SalCommune[[#This Row],[Dont non opposable]]))</f>
        <v/>
      </c>
      <c r="AC742" s="8"/>
      <c r="AD742" s="63"/>
      <c r="AE742" s="430"/>
      <c r="AF742" s="430"/>
      <c r="AG742" s="430"/>
      <c r="AH742" s="181"/>
      <c r="AI742" s="194">
        <f>IF(COUNTA(SalCommune[[#This Row],[N°]:[heures annuelles
selon contrat(s)]])=0,"",REVEX!$E$9)</f>
        <v>0</v>
      </c>
      <c r="AJ742" s="72"/>
    </row>
    <row r="743" spans="1:36" x14ac:dyDescent="0.25">
      <c r="A743" s="72"/>
      <c r="B743" s="725" t="str">
        <f>IF(SalCommune[[#This Row],[Matricule]]="","",MAX($B$7:B742)+1)</f>
        <v/>
      </c>
      <c r="C743" s="8"/>
      <c r="D743" s="8"/>
      <c r="E743" s="20"/>
      <c r="F743" s="8"/>
      <c r="G743" s="8"/>
      <c r="H743" s="9"/>
      <c r="I743" s="9"/>
      <c r="J743" s="9"/>
      <c r="K743" s="714"/>
      <c r="L743" s="714"/>
      <c r="M743" s="9"/>
      <c r="N743" s="9"/>
      <c r="O743" s="9"/>
      <c r="P743" s="715">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3" s="9"/>
      <c r="R743" s="9"/>
      <c r="S743" s="9"/>
      <c r="T743" s="37"/>
      <c r="U743" s="37"/>
      <c r="V743" s="37"/>
      <c r="W743" s="37"/>
      <c r="X743" s="37"/>
      <c r="Y743" s="37"/>
      <c r="Z743" s="713">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3" s="37"/>
      <c r="AB743" s="713" t="str">
        <f>IF(COUNTA(SalCommune[[#This Row],[Nom]:[heures annuelles
selon contrat(s)]])=0,"",SalCommune[[#This Row],[Total global]]-ABS(SalCommune[[#This Row],[Dont non opposable]]))</f>
        <v/>
      </c>
      <c r="AC743" s="8"/>
      <c r="AD743" s="63"/>
      <c r="AE743" s="430"/>
      <c r="AF743" s="430"/>
      <c r="AG743" s="430"/>
      <c r="AH743" s="181"/>
      <c r="AI743" s="194">
        <f>IF(COUNTA(SalCommune[[#This Row],[N°]:[heures annuelles
selon contrat(s)]])=0,"",REVEX!$E$9)</f>
        <v>0</v>
      </c>
      <c r="AJ743" s="72"/>
    </row>
    <row r="744" spans="1:36" x14ac:dyDescent="0.25">
      <c r="A744" s="72" t="str">
        <f>IF(SalCommune[[#This Row],[Statut]]="","",IF(ISNA(VLOOKUP(SalCommune[[#This Row],[Statut]],'Grille communale'!$B$3:$B$5,1,FALSE))=TRUE,"Veuillez choisir le statut parmis la liste déroulante",""))</f>
        <v/>
      </c>
      <c r="B744" s="725" t="str">
        <f>IF(SalCommune[[#This Row],[Matricule]]="","",MAX($B$7:B743)+1)</f>
        <v/>
      </c>
      <c r="C744" s="8"/>
      <c r="D744" s="8"/>
      <c r="E744" s="20"/>
      <c r="F744" s="8"/>
      <c r="G744" s="8"/>
      <c r="H744" s="9"/>
      <c r="I744" s="9"/>
      <c r="J744" s="9"/>
      <c r="K744" s="10"/>
      <c r="L744" s="10"/>
      <c r="M744" s="9"/>
      <c r="N744" s="9"/>
      <c r="O744" s="9"/>
      <c r="P74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4" s="9"/>
      <c r="R744" s="9"/>
      <c r="S744" s="9"/>
      <c r="T744" s="37"/>
      <c r="U744" s="37"/>
      <c r="V744" s="37"/>
      <c r="W744" s="37"/>
      <c r="X744" s="37"/>
      <c r="Y744" s="37"/>
      <c r="Z74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4" s="37"/>
      <c r="AB744" s="66" t="str">
        <f>IF(COUNTA(SalCommune[[#This Row],[Nom]:[heures annuelles
selon contrat(s)]])=0,"",SalCommune[[#This Row],[Total global]]-ABS(SalCommune[[#This Row],[Dont non opposable]]))</f>
        <v/>
      </c>
      <c r="AC744" s="8"/>
      <c r="AD744" s="63"/>
      <c r="AE744" s="430"/>
      <c r="AF744" s="430"/>
      <c r="AG744" s="430"/>
      <c r="AH744" s="181"/>
      <c r="AI744" s="194">
        <f>IF(COUNTA(SalCommune[[#This Row],[N°]:[heures annuelles
selon contrat(s)]])=0,"",REVEX!$E$9)</f>
        <v>0</v>
      </c>
      <c r="AJ744" s="72" t="str">
        <f>IF(SalCommune[[#This Row],[Allocations fonctions]]="","",IF(ISNA(VLOOKUP(SalCommune[[#This Row],[Allocations fonctions]],DROPDOWN[Dropdown82],1,FALSE))=TRUE,"&lt;-- Veuillez choisir l'allocation parmis la liste déroulante.",""))</f>
        <v/>
      </c>
    </row>
    <row r="745" spans="1:36" x14ac:dyDescent="0.25">
      <c r="A745" s="72" t="str">
        <f>IF(SalCommune[[#This Row],[Statut]]="","",IF(ISNA(VLOOKUP(SalCommune[[#This Row],[Statut]],'Grille communale'!$B$3:$B$5,1,FALSE))=TRUE,"Veuillez choisir le statut parmis la liste déroulante",""))</f>
        <v/>
      </c>
      <c r="B745" s="725" t="str">
        <f>IF(SalCommune[[#This Row],[Matricule]]="","",MAX($B$7:B744)+1)</f>
        <v/>
      </c>
      <c r="C745" s="8"/>
      <c r="D745" s="8"/>
      <c r="E745" s="20"/>
      <c r="F745" s="8"/>
      <c r="G745" s="8"/>
      <c r="H745" s="9"/>
      <c r="I745" s="9"/>
      <c r="J745" s="9"/>
      <c r="K745" s="10"/>
      <c r="L745" s="10"/>
      <c r="M745" s="9"/>
      <c r="N745" s="9"/>
      <c r="O745" s="9"/>
      <c r="P74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5" s="9"/>
      <c r="R745" s="9"/>
      <c r="S745" s="9"/>
      <c r="T745" s="37"/>
      <c r="U745" s="37"/>
      <c r="V745" s="37"/>
      <c r="W745" s="37"/>
      <c r="X745" s="37"/>
      <c r="Y745" s="37"/>
      <c r="Z74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5" s="37"/>
      <c r="AB745" s="66" t="str">
        <f>IF(COUNTA(SalCommune[[#This Row],[Nom]:[heures annuelles
selon contrat(s)]])=0,"",SalCommune[[#This Row],[Total global]]-ABS(SalCommune[[#This Row],[Dont non opposable]]))</f>
        <v/>
      </c>
      <c r="AC745" s="8"/>
      <c r="AD745" s="63"/>
      <c r="AE745" s="430"/>
      <c r="AF745" s="430"/>
      <c r="AG745" s="430"/>
      <c r="AH745" s="181"/>
      <c r="AI745" s="194">
        <f>IF(COUNTA(SalCommune[[#This Row],[N°]:[heures annuelles
selon contrat(s)]])=0,"",REVEX!$E$9)</f>
        <v>0</v>
      </c>
      <c r="AJ745" s="72" t="str">
        <f>IF(SalCommune[[#This Row],[Allocations fonctions]]="","",IF(ISNA(VLOOKUP(SalCommune[[#This Row],[Allocations fonctions]],DROPDOWN[Dropdown82],1,FALSE))=TRUE,"&lt;-- Veuillez choisir l'allocation parmis la liste déroulante.",""))</f>
        <v/>
      </c>
    </row>
    <row r="746" spans="1:36" x14ac:dyDescent="0.25">
      <c r="A746" s="72" t="str">
        <f>IF(SalCommune[[#This Row],[Statut]]="","",IF(ISNA(VLOOKUP(SalCommune[[#This Row],[Statut]],'Grille communale'!$B$3:$B$5,1,FALSE))=TRUE,"Veuillez choisir le statut parmis la liste déroulante",""))</f>
        <v/>
      </c>
      <c r="B746" s="725" t="str">
        <f>IF(SalCommune[[#This Row],[Matricule]]="","",MAX($B$7:B745)+1)</f>
        <v/>
      </c>
      <c r="C746" s="8"/>
      <c r="D746" s="8"/>
      <c r="E746" s="20"/>
      <c r="F746" s="8"/>
      <c r="G746" s="8"/>
      <c r="H746" s="9"/>
      <c r="I746" s="9"/>
      <c r="J746" s="9"/>
      <c r="K746" s="10"/>
      <c r="L746" s="10"/>
      <c r="M746" s="9"/>
      <c r="N746" s="9"/>
      <c r="O746" s="9"/>
      <c r="P74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6" s="9"/>
      <c r="R746" s="9"/>
      <c r="S746" s="9"/>
      <c r="T746" s="37"/>
      <c r="U746" s="37"/>
      <c r="V746" s="37"/>
      <c r="W746" s="37"/>
      <c r="X746" s="37"/>
      <c r="Y746" s="37"/>
      <c r="Z74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6" s="37"/>
      <c r="AB746" s="66" t="str">
        <f>IF(COUNTA(SalCommune[[#This Row],[Nom]:[heures annuelles
selon contrat(s)]])=0,"",SalCommune[[#This Row],[Total global]]-ABS(SalCommune[[#This Row],[Dont non opposable]]))</f>
        <v/>
      </c>
      <c r="AC746" s="8"/>
      <c r="AD746" s="63"/>
      <c r="AE746" s="430"/>
      <c r="AF746" s="430"/>
      <c r="AG746" s="430"/>
      <c r="AH746" s="181"/>
      <c r="AI746" s="194">
        <f>IF(COUNTA(SalCommune[[#This Row],[N°]:[heures annuelles
selon contrat(s)]])=0,"",REVEX!$E$9)</f>
        <v>0</v>
      </c>
      <c r="AJ746" s="72" t="str">
        <f>IF(SalCommune[[#This Row],[Allocations fonctions]]="","",IF(ISNA(VLOOKUP(SalCommune[[#This Row],[Allocations fonctions]],DROPDOWN[Dropdown82],1,FALSE))=TRUE,"&lt;-- Veuillez choisir l'allocation parmis la liste déroulante.",""))</f>
        <v/>
      </c>
    </row>
    <row r="747" spans="1:36" x14ac:dyDescent="0.25">
      <c r="A747" s="72" t="str">
        <f>IF(SalCommune[[#This Row],[Statut]]="","",IF(ISNA(VLOOKUP(SalCommune[[#This Row],[Statut]],'Grille communale'!$B$3:$B$5,1,FALSE))=TRUE,"Veuillez choisir le statut parmis la liste déroulante",""))</f>
        <v/>
      </c>
      <c r="B747" s="725" t="str">
        <f>IF(SalCommune[[#This Row],[Matricule]]="","",MAX($B$7:B746)+1)</f>
        <v/>
      </c>
      <c r="C747" s="8"/>
      <c r="D747" s="8"/>
      <c r="E747" s="20"/>
      <c r="F747" s="8"/>
      <c r="G747" s="8"/>
      <c r="H747" s="9"/>
      <c r="I747" s="9"/>
      <c r="J747" s="9"/>
      <c r="K747" s="10"/>
      <c r="L747" s="10"/>
      <c r="M747" s="9"/>
      <c r="N747" s="9"/>
      <c r="O747" s="9"/>
      <c r="P74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7" s="9"/>
      <c r="R747" s="9"/>
      <c r="S747" s="9"/>
      <c r="T747" s="37"/>
      <c r="U747" s="37"/>
      <c r="V747" s="37"/>
      <c r="W747" s="37"/>
      <c r="X747" s="37"/>
      <c r="Y747" s="37"/>
      <c r="Z74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7" s="37"/>
      <c r="AB747" s="66" t="str">
        <f>IF(COUNTA(SalCommune[[#This Row],[Nom]:[heures annuelles
selon contrat(s)]])=0,"",SalCommune[[#This Row],[Total global]]-ABS(SalCommune[[#This Row],[Dont non opposable]]))</f>
        <v/>
      </c>
      <c r="AC747" s="8"/>
      <c r="AD747" s="63"/>
      <c r="AE747" s="430"/>
      <c r="AF747" s="430"/>
      <c r="AG747" s="430"/>
      <c r="AH747" s="181"/>
      <c r="AI747" s="194">
        <f>IF(COUNTA(SalCommune[[#This Row],[N°]:[heures annuelles
selon contrat(s)]])=0,"",REVEX!$E$9)</f>
        <v>0</v>
      </c>
      <c r="AJ747" s="72" t="str">
        <f>IF(SalCommune[[#This Row],[Allocations fonctions]]="","",IF(ISNA(VLOOKUP(SalCommune[[#This Row],[Allocations fonctions]],DROPDOWN[Dropdown82],1,FALSE))=TRUE,"&lt;-- Veuillez choisir l'allocation parmis la liste déroulante.",""))</f>
        <v/>
      </c>
    </row>
    <row r="748" spans="1:36" x14ac:dyDescent="0.25">
      <c r="A748" s="72" t="str">
        <f>IF(SalCommune[[#This Row],[Statut]]="","",IF(ISNA(VLOOKUP(SalCommune[[#This Row],[Statut]],'Grille communale'!$B$3:$B$5,1,FALSE))=TRUE,"Veuillez choisir le statut parmis la liste déroulante",""))</f>
        <v/>
      </c>
      <c r="B748" s="725" t="str">
        <f>IF(SalCommune[[#This Row],[Matricule]]="","",MAX($B$7:B747)+1)</f>
        <v/>
      </c>
      <c r="C748" s="8"/>
      <c r="D748" s="8"/>
      <c r="E748" s="20"/>
      <c r="F748" s="8"/>
      <c r="G748" s="8"/>
      <c r="H748" s="9"/>
      <c r="I748" s="9"/>
      <c r="J748" s="9"/>
      <c r="K748" s="10"/>
      <c r="L748" s="10"/>
      <c r="M748" s="9"/>
      <c r="N748" s="9"/>
      <c r="O748" s="9"/>
      <c r="P74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8" s="9"/>
      <c r="R748" s="9"/>
      <c r="S748" s="9"/>
      <c r="T748" s="37"/>
      <c r="U748" s="37"/>
      <c r="V748" s="37"/>
      <c r="W748" s="37"/>
      <c r="X748" s="37"/>
      <c r="Y748" s="37"/>
      <c r="Z74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8" s="37"/>
      <c r="AB748" s="66" t="str">
        <f>IF(COUNTA(SalCommune[[#This Row],[Nom]:[heures annuelles
selon contrat(s)]])=0,"",SalCommune[[#This Row],[Total global]]-ABS(SalCommune[[#This Row],[Dont non opposable]]))</f>
        <v/>
      </c>
      <c r="AC748" s="8"/>
      <c r="AD748" s="63"/>
      <c r="AE748" s="430"/>
      <c r="AF748" s="430"/>
      <c r="AG748" s="430"/>
      <c r="AH748" s="181"/>
      <c r="AI748" s="194">
        <f>IF(COUNTA(SalCommune[[#This Row],[N°]:[heures annuelles
selon contrat(s)]])=0,"",REVEX!$E$9)</f>
        <v>0</v>
      </c>
      <c r="AJ748" s="72" t="str">
        <f>IF(SalCommune[[#This Row],[Allocations fonctions]]="","",IF(ISNA(VLOOKUP(SalCommune[[#This Row],[Allocations fonctions]],DROPDOWN[Dropdown82],1,FALSE))=TRUE,"&lt;-- Veuillez choisir l'allocation parmis la liste déroulante.",""))</f>
        <v/>
      </c>
    </row>
    <row r="749" spans="1:36" x14ac:dyDescent="0.25">
      <c r="A749" s="72" t="str">
        <f>IF(SalCommune[[#This Row],[Statut]]="","",IF(ISNA(VLOOKUP(SalCommune[[#This Row],[Statut]],'Grille communale'!$B$3:$B$5,1,FALSE))=TRUE,"Veuillez choisir le statut parmis la liste déroulante",""))</f>
        <v/>
      </c>
      <c r="B749" s="725" t="str">
        <f>IF(SalCommune[[#This Row],[Matricule]]="","",MAX($B$7:B748)+1)</f>
        <v/>
      </c>
      <c r="C749" s="8"/>
      <c r="D749" s="8"/>
      <c r="E749" s="20"/>
      <c r="F749" s="8"/>
      <c r="G749" s="8"/>
      <c r="H749" s="9"/>
      <c r="I749" s="9"/>
      <c r="J749" s="9"/>
      <c r="K749" s="10"/>
      <c r="L749" s="10"/>
      <c r="M749" s="9"/>
      <c r="N749" s="9"/>
      <c r="O749" s="9"/>
      <c r="P74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49" s="9"/>
      <c r="R749" s="9"/>
      <c r="S749" s="9"/>
      <c r="T749" s="37"/>
      <c r="U749" s="37"/>
      <c r="V749" s="37"/>
      <c r="W749" s="37"/>
      <c r="X749" s="37"/>
      <c r="Y749" s="37"/>
      <c r="Z74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49" s="37"/>
      <c r="AB749" s="66" t="str">
        <f>IF(COUNTA(SalCommune[[#This Row],[Nom]:[heures annuelles
selon contrat(s)]])=0,"",SalCommune[[#This Row],[Total global]]-ABS(SalCommune[[#This Row],[Dont non opposable]]))</f>
        <v/>
      </c>
      <c r="AC749" s="8"/>
      <c r="AD749" s="63"/>
      <c r="AE749" s="430"/>
      <c r="AF749" s="430"/>
      <c r="AG749" s="430"/>
      <c r="AH749" s="181"/>
      <c r="AI749" s="194">
        <f>IF(COUNTA(SalCommune[[#This Row],[N°]:[heures annuelles
selon contrat(s)]])=0,"",REVEX!$E$9)</f>
        <v>0</v>
      </c>
      <c r="AJ749" s="72" t="str">
        <f>IF(SalCommune[[#This Row],[Allocations fonctions]]="","",IF(ISNA(VLOOKUP(SalCommune[[#This Row],[Allocations fonctions]],DROPDOWN[Dropdown82],1,FALSE))=TRUE,"&lt;-- Veuillez choisir l'allocation parmis la liste déroulante.",""))</f>
        <v/>
      </c>
    </row>
    <row r="750" spans="1:36" x14ac:dyDescent="0.25">
      <c r="A750" s="72" t="str">
        <f>IF(SalCommune[[#This Row],[Statut]]="","",IF(ISNA(VLOOKUP(SalCommune[[#This Row],[Statut]],'Grille communale'!$B$3:$B$5,1,FALSE))=TRUE,"Veuillez choisir le statut parmis la liste déroulante",""))</f>
        <v/>
      </c>
      <c r="B750" s="725" t="str">
        <f>IF(SalCommune[[#This Row],[Matricule]]="","",MAX($B$7:B749)+1)</f>
        <v/>
      </c>
      <c r="C750" s="8"/>
      <c r="D750" s="8"/>
      <c r="E750" s="20"/>
      <c r="F750" s="8"/>
      <c r="G750" s="8"/>
      <c r="H750" s="9"/>
      <c r="I750" s="9"/>
      <c r="J750" s="9"/>
      <c r="K750" s="10"/>
      <c r="L750" s="10"/>
      <c r="M750" s="9"/>
      <c r="N750" s="9"/>
      <c r="O750" s="9"/>
      <c r="P75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0" s="9"/>
      <c r="R750" s="9"/>
      <c r="S750" s="9"/>
      <c r="T750" s="37"/>
      <c r="U750" s="37"/>
      <c r="V750" s="37"/>
      <c r="W750" s="37"/>
      <c r="X750" s="37"/>
      <c r="Y750" s="37"/>
      <c r="Z75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0" s="37"/>
      <c r="AB750" s="66" t="str">
        <f>IF(COUNTA(SalCommune[[#This Row],[Nom]:[heures annuelles
selon contrat(s)]])=0,"",SalCommune[[#This Row],[Total global]]-ABS(SalCommune[[#This Row],[Dont non opposable]]))</f>
        <v/>
      </c>
      <c r="AC750" s="8"/>
      <c r="AD750" s="63"/>
      <c r="AE750" s="430"/>
      <c r="AF750" s="430"/>
      <c r="AG750" s="430"/>
      <c r="AH750" s="181"/>
      <c r="AI750" s="194">
        <f>IF(COUNTA(SalCommune[[#This Row],[N°]:[heures annuelles
selon contrat(s)]])=0,"",REVEX!$E$9)</f>
        <v>0</v>
      </c>
      <c r="AJ750" s="72" t="str">
        <f>IF(SalCommune[[#This Row],[Allocations fonctions]]="","",IF(ISNA(VLOOKUP(SalCommune[[#This Row],[Allocations fonctions]],DROPDOWN[Dropdown82],1,FALSE))=TRUE,"&lt;-- Veuillez choisir l'allocation parmis la liste déroulante.",""))</f>
        <v/>
      </c>
    </row>
    <row r="751" spans="1:36" x14ac:dyDescent="0.25">
      <c r="A751" s="72" t="str">
        <f>IF(SalCommune[[#This Row],[Statut]]="","",IF(ISNA(VLOOKUP(SalCommune[[#This Row],[Statut]],'Grille communale'!$B$3:$B$5,1,FALSE))=TRUE,"Veuillez choisir le statut parmis la liste déroulante",""))</f>
        <v/>
      </c>
      <c r="B751" s="725" t="str">
        <f>IF(SalCommune[[#This Row],[Matricule]]="","",MAX($B$7:B750)+1)</f>
        <v/>
      </c>
      <c r="C751" s="8"/>
      <c r="D751" s="8"/>
      <c r="E751" s="20"/>
      <c r="F751" s="8"/>
      <c r="G751" s="8"/>
      <c r="H751" s="9"/>
      <c r="I751" s="9"/>
      <c r="J751" s="9"/>
      <c r="K751" s="10"/>
      <c r="L751" s="10"/>
      <c r="M751" s="9"/>
      <c r="N751" s="9"/>
      <c r="O751" s="9"/>
      <c r="P75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1" s="9"/>
      <c r="R751" s="9"/>
      <c r="S751" s="9"/>
      <c r="T751" s="37"/>
      <c r="U751" s="37"/>
      <c r="V751" s="37"/>
      <c r="W751" s="37"/>
      <c r="X751" s="37"/>
      <c r="Y751" s="37"/>
      <c r="Z75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1" s="37"/>
      <c r="AB751" s="66" t="str">
        <f>IF(COUNTA(SalCommune[[#This Row],[Nom]:[heures annuelles
selon contrat(s)]])=0,"",SalCommune[[#This Row],[Total global]]-ABS(SalCommune[[#This Row],[Dont non opposable]]))</f>
        <v/>
      </c>
      <c r="AC751" s="8"/>
      <c r="AD751" s="63"/>
      <c r="AE751" s="430"/>
      <c r="AF751" s="430"/>
      <c r="AG751" s="430"/>
      <c r="AH751" s="181"/>
      <c r="AI751" s="194">
        <f>IF(COUNTA(SalCommune[[#This Row],[N°]:[heures annuelles
selon contrat(s)]])=0,"",REVEX!$E$9)</f>
        <v>0</v>
      </c>
      <c r="AJ751" s="72" t="str">
        <f>IF(SalCommune[[#This Row],[Allocations fonctions]]="","",IF(ISNA(VLOOKUP(SalCommune[[#This Row],[Allocations fonctions]],DROPDOWN[Dropdown82],1,FALSE))=TRUE,"&lt;-- Veuillez choisir l'allocation parmis la liste déroulante.",""))</f>
        <v/>
      </c>
    </row>
    <row r="752" spans="1:36" x14ac:dyDescent="0.25">
      <c r="A752" s="72" t="str">
        <f>IF(SalCommune[[#This Row],[Statut]]="","",IF(ISNA(VLOOKUP(SalCommune[[#This Row],[Statut]],'Grille communale'!$B$3:$B$5,1,FALSE))=TRUE,"Veuillez choisir le statut parmis la liste déroulante",""))</f>
        <v/>
      </c>
      <c r="B752" s="725" t="str">
        <f>IF(SalCommune[[#This Row],[Matricule]]="","",MAX($B$7:B751)+1)</f>
        <v/>
      </c>
      <c r="C752" s="8"/>
      <c r="D752" s="8"/>
      <c r="E752" s="20"/>
      <c r="F752" s="8"/>
      <c r="G752" s="8"/>
      <c r="H752" s="9"/>
      <c r="I752" s="9"/>
      <c r="J752" s="9"/>
      <c r="K752" s="10"/>
      <c r="L752" s="10"/>
      <c r="M752" s="9"/>
      <c r="N752" s="9"/>
      <c r="O752" s="9"/>
      <c r="P75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2" s="9"/>
      <c r="R752" s="9"/>
      <c r="S752" s="9"/>
      <c r="T752" s="37"/>
      <c r="U752" s="37"/>
      <c r="V752" s="37"/>
      <c r="W752" s="37"/>
      <c r="X752" s="37"/>
      <c r="Y752" s="37"/>
      <c r="Z75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2" s="37"/>
      <c r="AB752" s="66" t="str">
        <f>IF(COUNTA(SalCommune[[#This Row],[Nom]:[heures annuelles
selon contrat(s)]])=0,"",SalCommune[[#This Row],[Total global]]-ABS(SalCommune[[#This Row],[Dont non opposable]]))</f>
        <v/>
      </c>
      <c r="AC752" s="8"/>
      <c r="AD752" s="63"/>
      <c r="AE752" s="430"/>
      <c r="AF752" s="430"/>
      <c r="AG752" s="430"/>
      <c r="AH752" s="181"/>
      <c r="AI752" s="194">
        <f>IF(COUNTA(SalCommune[[#This Row],[N°]:[heures annuelles
selon contrat(s)]])=0,"",REVEX!$E$9)</f>
        <v>0</v>
      </c>
      <c r="AJ752" s="72" t="str">
        <f>IF(SalCommune[[#This Row],[Allocations fonctions]]="","",IF(ISNA(VLOOKUP(SalCommune[[#This Row],[Allocations fonctions]],DROPDOWN[Dropdown82],1,FALSE))=TRUE,"&lt;-- Veuillez choisir l'allocation parmis la liste déroulante.",""))</f>
        <v/>
      </c>
    </row>
    <row r="753" spans="1:36" x14ac:dyDescent="0.25">
      <c r="A753" s="72" t="str">
        <f>IF(SalCommune[[#This Row],[Statut]]="","",IF(ISNA(VLOOKUP(SalCommune[[#This Row],[Statut]],'Grille communale'!$B$3:$B$5,1,FALSE))=TRUE,"Veuillez choisir le statut parmis la liste déroulante",""))</f>
        <v/>
      </c>
      <c r="B753" s="725" t="str">
        <f>IF(SalCommune[[#This Row],[Matricule]]="","",MAX($B$7:B752)+1)</f>
        <v/>
      </c>
      <c r="C753" s="8"/>
      <c r="D753" s="8"/>
      <c r="E753" s="20"/>
      <c r="F753" s="8"/>
      <c r="G753" s="8"/>
      <c r="H753" s="9"/>
      <c r="I753" s="9"/>
      <c r="J753" s="9"/>
      <c r="K753" s="10"/>
      <c r="L753" s="10"/>
      <c r="M753" s="9"/>
      <c r="N753" s="9"/>
      <c r="O753" s="9"/>
      <c r="P75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3" s="9"/>
      <c r="R753" s="9"/>
      <c r="S753" s="9"/>
      <c r="T753" s="37"/>
      <c r="U753" s="37"/>
      <c r="V753" s="37"/>
      <c r="W753" s="37"/>
      <c r="X753" s="37"/>
      <c r="Y753" s="37"/>
      <c r="Z75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3" s="37"/>
      <c r="AB753" s="66" t="str">
        <f>IF(COUNTA(SalCommune[[#This Row],[Nom]:[heures annuelles
selon contrat(s)]])=0,"",SalCommune[[#This Row],[Total global]]-ABS(SalCommune[[#This Row],[Dont non opposable]]))</f>
        <v/>
      </c>
      <c r="AC753" s="8"/>
      <c r="AD753" s="63"/>
      <c r="AE753" s="430"/>
      <c r="AF753" s="430"/>
      <c r="AG753" s="430"/>
      <c r="AH753" s="181"/>
      <c r="AI753" s="194">
        <f>IF(COUNTA(SalCommune[[#This Row],[N°]:[heures annuelles
selon contrat(s)]])=0,"",REVEX!$E$9)</f>
        <v>0</v>
      </c>
      <c r="AJ753" s="72" t="str">
        <f>IF(SalCommune[[#This Row],[Allocations fonctions]]="","",IF(ISNA(VLOOKUP(SalCommune[[#This Row],[Allocations fonctions]],DROPDOWN[Dropdown82],1,FALSE))=TRUE,"&lt;-- Veuillez choisir l'allocation parmis la liste déroulante.",""))</f>
        <v/>
      </c>
    </row>
    <row r="754" spans="1:36" x14ac:dyDescent="0.25">
      <c r="A754" s="72" t="str">
        <f>IF(SalCommune[[#This Row],[Statut]]="","",IF(ISNA(VLOOKUP(SalCommune[[#This Row],[Statut]],'Grille communale'!$B$3:$B$5,1,FALSE))=TRUE,"Veuillez choisir le statut parmis la liste déroulante",""))</f>
        <v/>
      </c>
      <c r="B754" s="725" t="str">
        <f>IF(SalCommune[[#This Row],[Matricule]]="","",MAX($B$7:B753)+1)</f>
        <v/>
      </c>
      <c r="C754" s="8"/>
      <c r="D754" s="8"/>
      <c r="E754" s="20"/>
      <c r="F754" s="8"/>
      <c r="G754" s="8"/>
      <c r="H754" s="9"/>
      <c r="I754" s="9"/>
      <c r="J754" s="9"/>
      <c r="K754" s="10"/>
      <c r="L754" s="10"/>
      <c r="M754" s="9"/>
      <c r="N754" s="9"/>
      <c r="O754" s="9"/>
      <c r="P75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4" s="9"/>
      <c r="R754" s="9"/>
      <c r="S754" s="9"/>
      <c r="T754" s="37"/>
      <c r="U754" s="37"/>
      <c r="V754" s="37"/>
      <c r="W754" s="37"/>
      <c r="X754" s="37"/>
      <c r="Y754" s="37"/>
      <c r="Z75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4" s="37"/>
      <c r="AB754" s="66" t="str">
        <f>IF(COUNTA(SalCommune[[#This Row],[Nom]:[heures annuelles
selon contrat(s)]])=0,"",SalCommune[[#This Row],[Total global]]-ABS(SalCommune[[#This Row],[Dont non opposable]]))</f>
        <v/>
      </c>
      <c r="AC754" s="8"/>
      <c r="AD754" s="63"/>
      <c r="AE754" s="430"/>
      <c r="AF754" s="430"/>
      <c r="AG754" s="430"/>
      <c r="AH754" s="181"/>
      <c r="AI754" s="194">
        <f>IF(COUNTA(SalCommune[[#This Row],[N°]:[heures annuelles
selon contrat(s)]])=0,"",REVEX!$E$9)</f>
        <v>0</v>
      </c>
      <c r="AJ754" s="72" t="str">
        <f>IF(SalCommune[[#This Row],[Allocations fonctions]]="","",IF(ISNA(VLOOKUP(SalCommune[[#This Row],[Allocations fonctions]],DROPDOWN[Dropdown82],1,FALSE))=TRUE,"&lt;-- Veuillez choisir l'allocation parmis la liste déroulante.",""))</f>
        <v/>
      </c>
    </row>
    <row r="755" spans="1:36" x14ac:dyDescent="0.25">
      <c r="A755" s="72" t="str">
        <f>IF(SalCommune[[#This Row],[Statut]]="","",IF(ISNA(VLOOKUP(SalCommune[[#This Row],[Statut]],'Grille communale'!$B$3:$B$5,1,FALSE))=TRUE,"Veuillez choisir le statut parmis la liste déroulante",""))</f>
        <v/>
      </c>
      <c r="B755" s="725" t="str">
        <f>IF(SalCommune[[#This Row],[Matricule]]="","",MAX($B$7:B754)+1)</f>
        <v/>
      </c>
      <c r="C755" s="8"/>
      <c r="D755" s="8"/>
      <c r="E755" s="20"/>
      <c r="F755" s="8"/>
      <c r="G755" s="8"/>
      <c r="H755" s="9"/>
      <c r="I755" s="9"/>
      <c r="J755" s="9"/>
      <c r="K755" s="10"/>
      <c r="L755" s="10"/>
      <c r="M755" s="9"/>
      <c r="N755" s="9"/>
      <c r="O755" s="9"/>
      <c r="P75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5" s="9"/>
      <c r="R755" s="9"/>
      <c r="S755" s="9"/>
      <c r="T755" s="37"/>
      <c r="U755" s="37"/>
      <c r="V755" s="37"/>
      <c r="W755" s="37"/>
      <c r="X755" s="37"/>
      <c r="Y755" s="37"/>
      <c r="Z75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5" s="37"/>
      <c r="AB755" s="66" t="str">
        <f>IF(COUNTA(SalCommune[[#This Row],[Nom]:[heures annuelles
selon contrat(s)]])=0,"",SalCommune[[#This Row],[Total global]]-ABS(SalCommune[[#This Row],[Dont non opposable]]))</f>
        <v/>
      </c>
      <c r="AC755" s="8"/>
      <c r="AD755" s="63"/>
      <c r="AE755" s="430"/>
      <c r="AF755" s="430"/>
      <c r="AG755" s="430"/>
      <c r="AH755" s="181"/>
      <c r="AI755" s="194">
        <f>IF(COUNTA(SalCommune[[#This Row],[N°]:[heures annuelles
selon contrat(s)]])=0,"",REVEX!$E$9)</f>
        <v>0</v>
      </c>
      <c r="AJ755" s="72" t="str">
        <f>IF(SalCommune[[#This Row],[Allocations fonctions]]="","",IF(ISNA(VLOOKUP(SalCommune[[#This Row],[Allocations fonctions]],DROPDOWN[Dropdown82],1,FALSE))=TRUE,"&lt;-- Veuillez choisir l'allocation parmis la liste déroulante.",""))</f>
        <v/>
      </c>
    </row>
    <row r="756" spans="1:36" x14ac:dyDescent="0.25">
      <c r="A756" s="72" t="str">
        <f>IF(SalCommune[[#This Row],[Statut]]="","",IF(ISNA(VLOOKUP(SalCommune[[#This Row],[Statut]],'Grille communale'!$B$3:$B$5,1,FALSE))=TRUE,"Veuillez choisir le statut parmis la liste déroulante",""))</f>
        <v/>
      </c>
      <c r="B756" s="725" t="str">
        <f>IF(SalCommune[[#This Row],[Matricule]]="","",MAX($B$7:B755)+1)</f>
        <v/>
      </c>
      <c r="C756" s="8"/>
      <c r="D756" s="8"/>
      <c r="E756" s="20"/>
      <c r="F756" s="8"/>
      <c r="G756" s="8"/>
      <c r="H756" s="9"/>
      <c r="I756" s="9"/>
      <c r="J756" s="9"/>
      <c r="K756" s="10"/>
      <c r="L756" s="10"/>
      <c r="M756" s="9"/>
      <c r="N756" s="9"/>
      <c r="O756" s="9"/>
      <c r="P75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6" s="9"/>
      <c r="R756" s="9"/>
      <c r="S756" s="9"/>
      <c r="T756" s="37"/>
      <c r="U756" s="37"/>
      <c r="V756" s="37"/>
      <c r="W756" s="37"/>
      <c r="X756" s="37"/>
      <c r="Y756" s="37"/>
      <c r="Z75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6" s="37"/>
      <c r="AB756" s="66" t="str">
        <f>IF(COUNTA(SalCommune[[#This Row],[Nom]:[heures annuelles
selon contrat(s)]])=0,"",SalCommune[[#This Row],[Total global]]-ABS(SalCommune[[#This Row],[Dont non opposable]]))</f>
        <v/>
      </c>
      <c r="AC756" s="8"/>
      <c r="AD756" s="63"/>
      <c r="AE756" s="430"/>
      <c r="AF756" s="430"/>
      <c r="AG756" s="430"/>
      <c r="AH756" s="181"/>
      <c r="AI756" s="194">
        <f>IF(COUNTA(SalCommune[[#This Row],[N°]:[heures annuelles
selon contrat(s)]])=0,"",REVEX!$E$9)</f>
        <v>0</v>
      </c>
      <c r="AJ756" s="72" t="str">
        <f>IF(SalCommune[[#This Row],[Allocations fonctions]]="","",IF(ISNA(VLOOKUP(SalCommune[[#This Row],[Allocations fonctions]],DROPDOWN[Dropdown82],1,FALSE))=TRUE,"&lt;-- Veuillez choisir l'allocation parmis la liste déroulante.",""))</f>
        <v/>
      </c>
    </row>
    <row r="757" spans="1:36" x14ac:dyDescent="0.25">
      <c r="A757" s="72" t="str">
        <f>IF(SalCommune[[#This Row],[Statut]]="","",IF(ISNA(VLOOKUP(SalCommune[[#This Row],[Statut]],'Grille communale'!$B$3:$B$5,1,FALSE))=TRUE,"Veuillez choisir le statut parmis la liste déroulante",""))</f>
        <v/>
      </c>
      <c r="B757" s="725" t="str">
        <f>IF(SalCommune[[#This Row],[Matricule]]="","",MAX($B$7:B756)+1)</f>
        <v/>
      </c>
      <c r="C757" s="8"/>
      <c r="D757" s="8"/>
      <c r="E757" s="20"/>
      <c r="F757" s="8"/>
      <c r="G757" s="8"/>
      <c r="H757" s="9"/>
      <c r="I757" s="9"/>
      <c r="J757" s="9"/>
      <c r="K757" s="10"/>
      <c r="L757" s="10"/>
      <c r="M757" s="9"/>
      <c r="N757" s="9"/>
      <c r="O757" s="9"/>
      <c r="P75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7" s="9"/>
      <c r="R757" s="9"/>
      <c r="S757" s="9"/>
      <c r="T757" s="37"/>
      <c r="U757" s="37"/>
      <c r="V757" s="37"/>
      <c r="W757" s="37"/>
      <c r="X757" s="37"/>
      <c r="Y757" s="37"/>
      <c r="Z75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7" s="37"/>
      <c r="AB757" s="66" t="str">
        <f>IF(COUNTA(SalCommune[[#This Row],[Nom]:[heures annuelles
selon contrat(s)]])=0,"",SalCommune[[#This Row],[Total global]]-ABS(SalCommune[[#This Row],[Dont non opposable]]))</f>
        <v/>
      </c>
      <c r="AC757" s="8"/>
      <c r="AD757" s="63"/>
      <c r="AE757" s="430"/>
      <c r="AF757" s="430"/>
      <c r="AG757" s="430"/>
      <c r="AH757" s="181"/>
      <c r="AI757" s="194">
        <f>IF(COUNTA(SalCommune[[#This Row],[N°]:[heures annuelles
selon contrat(s)]])=0,"",REVEX!$E$9)</f>
        <v>0</v>
      </c>
      <c r="AJ757" s="72" t="str">
        <f>IF(SalCommune[[#This Row],[Allocations fonctions]]="","",IF(ISNA(VLOOKUP(SalCommune[[#This Row],[Allocations fonctions]],DROPDOWN[Dropdown82],1,FALSE))=TRUE,"&lt;-- Veuillez choisir l'allocation parmis la liste déroulante.",""))</f>
        <v/>
      </c>
    </row>
    <row r="758" spans="1:36" x14ac:dyDescent="0.25">
      <c r="A758" s="72" t="str">
        <f>IF(SalCommune[[#This Row],[Statut]]="","",IF(ISNA(VLOOKUP(SalCommune[[#This Row],[Statut]],'Grille communale'!$B$3:$B$5,1,FALSE))=TRUE,"Veuillez choisir le statut parmis la liste déroulante",""))</f>
        <v/>
      </c>
      <c r="B758" s="725" t="str">
        <f>IF(SalCommune[[#This Row],[Matricule]]="","",MAX($B$7:B757)+1)</f>
        <v/>
      </c>
      <c r="C758" s="8"/>
      <c r="D758" s="8"/>
      <c r="E758" s="20"/>
      <c r="F758" s="8"/>
      <c r="G758" s="8"/>
      <c r="H758" s="9"/>
      <c r="I758" s="9"/>
      <c r="J758" s="9"/>
      <c r="K758" s="10"/>
      <c r="L758" s="10"/>
      <c r="M758" s="9"/>
      <c r="N758" s="9"/>
      <c r="O758" s="9"/>
      <c r="P75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8" s="9"/>
      <c r="R758" s="9"/>
      <c r="S758" s="9"/>
      <c r="T758" s="37"/>
      <c r="U758" s="37"/>
      <c r="V758" s="37"/>
      <c r="W758" s="37"/>
      <c r="X758" s="37"/>
      <c r="Y758" s="37"/>
      <c r="Z75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8" s="37"/>
      <c r="AB758" s="66" t="str">
        <f>IF(COUNTA(SalCommune[[#This Row],[Nom]:[heures annuelles
selon contrat(s)]])=0,"",SalCommune[[#This Row],[Total global]]-ABS(SalCommune[[#This Row],[Dont non opposable]]))</f>
        <v/>
      </c>
      <c r="AC758" s="8"/>
      <c r="AD758" s="63"/>
      <c r="AE758" s="430"/>
      <c r="AF758" s="430"/>
      <c r="AG758" s="430"/>
      <c r="AH758" s="181"/>
      <c r="AI758" s="194">
        <f>IF(COUNTA(SalCommune[[#This Row],[N°]:[heures annuelles
selon contrat(s)]])=0,"",REVEX!$E$9)</f>
        <v>0</v>
      </c>
      <c r="AJ758" s="72" t="str">
        <f>IF(SalCommune[[#This Row],[Allocations fonctions]]="","",IF(ISNA(VLOOKUP(SalCommune[[#This Row],[Allocations fonctions]],DROPDOWN[Dropdown82],1,FALSE))=TRUE,"&lt;-- Veuillez choisir l'allocation parmis la liste déroulante.",""))</f>
        <v/>
      </c>
    </row>
    <row r="759" spans="1:36" x14ac:dyDescent="0.25">
      <c r="A759" s="72" t="str">
        <f>IF(SalCommune[[#This Row],[Statut]]="","",IF(ISNA(VLOOKUP(SalCommune[[#This Row],[Statut]],'Grille communale'!$B$3:$B$5,1,FALSE))=TRUE,"Veuillez choisir le statut parmis la liste déroulante",""))</f>
        <v/>
      </c>
      <c r="B759" s="725" t="str">
        <f>IF(SalCommune[[#This Row],[Matricule]]="","",MAX($B$7:B758)+1)</f>
        <v/>
      </c>
      <c r="C759" s="8"/>
      <c r="D759" s="8"/>
      <c r="E759" s="20"/>
      <c r="F759" s="8"/>
      <c r="G759" s="8"/>
      <c r="H759" s="9"/>
      <c r="I759" s="9"/>
      <c r="J759" s="9"/>
      <c r="K759" s="10"/>
      <c r="L759" s="10"/>
      <c r="M759" s="9"/>
      <c r="N759" s="9"/>
      <c r="O759" s="9"/>
      <c r="P75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59" s="9"/>
      <c r="R759" s="9"/>
      <c r="S759" s="9"/>
      <c r="T759" s="37"/>
      <c r="U759" s="37"/>
      <c r="V759" s="37"/>
      <c r="W759" s="37"/>
      <c r="X759" s="37"/>
      <c r="Y759" s="37"/>
      <c r="Z759"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59" s="37"/>
      <c r="AB759" s="66" t="str">
        <f>IF(COUNTA(SalCommune[[#This Row],[Nom]:[heures annuelles
selon contrat(s)]])=0,"",SalCommune[[#This Row],[Total global]]-ABS(SalCommune[[#This Row],[Dont non opposable]]))</f>
        <v/>
      </c>
      <c r="AC759" s="8"/>
      <c r="AD759" s="63"/>
      <c r="AE759" s="430"/>
      <c r="AF759" s="430"/>
      <c r="AG759" s="430"/>
      <c r="AH759" s="181"/>
      <c r="AI759" s="194">
        <f>IF(COUNTA(SalCommune[[#This Row],[N°]:[heures annuelles
selon contrat(s)]])=0,"",REVEX!$E$9)</f>
        <v>0</v>
      </c>
      <c r="AJ759" s="72" t="str">
        <f>IF(SalCommune[[#This Row],[Allocations fonctions]]="","",IF(ISNA(VLOOKUP(SalCommune[[#This Row],[Allocations fonctions]],DROPDOWN[Dropdown82],1,FALSE))=TRUE,"&lt;-- Veuillez choisir l'allocation parmis la liste déroulante.",""))</f>
        <v/>
      </c>
    </row>
    <row r="760" spans="1:36" x14ac:dyDescent="0.25">
      <c r="A760" s="72" t="str">
        <f>IF(SalCommune[[#This Row],[Statut]]="","",IF(ISNA(VLOOKUP(SalCommune[[#This Row],[Statut]],'Grille communale'!$B$3:$B$5,1,FALSE))=TRUE,"Veuillez choisir le statut parmis la liste déroulante",""))</f>
        <v/>
      </c>
      <c r="B760" s="725" t="str">
        <f>IF(SalCommune[[#This Row],[Matricule]]="","",MAX($B$7:B759)+1)</f>
        <v/>
      </c>
      <c r="C760" s="8"/>
      <c r="D760" s="8"/>
      <c r="E760" s="20"/>
      <c r="F760" s="8"/>
      <c r="G760" s="8"/>
      <c r="H760" s="9"/>
      <c r="I760" s="9"/>
      <c r="J760" s="9"/>
      <c r="K760" s="10"/>
      <c r="L760" s="10"/>
      <c r="M760" s="9"/>
      <c r="N760" s="9"/>
      <c r="O760" s="9"/>
      <c r="P760"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0" s="9"/>
      <c r="R760" s="9"/>
      <c r="S760" s="9"/>
      <c r="T760" s="37"/>
      <c r="U760" s="37"/>
      <c r="V760" s="37"/>
      <c r="W760" s="37"/>
      <c r="X760" s="37"/>
      <c r="Y760" s="37"/>
      <c r="Z760"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0" s="37"/>
      <c r="AB760" s="66" t="str">
        <f>IF(COUNTA(SalCommune[[#This Row],[Nom]:[heures annuelles
selon contrat(s)]])=0,"",SalCommune[[#This Row],[Total global]]-ABS(SalCommune[[#This Row],[Dont non opposable]]))</f>
        <v/>
      </c>
      <c r="AC760" s="8"/>
      <c r="AD760" s="63"/>
      <c r="AE760" s="430"/>
      <c r="AF760" s="430"/>
      <c r="AG760" s="430"/>
      <c r="AH760" s="181"/>
      <c r="AI760" s="194">
        <f>IF(COUNTA(SalCommune[[#This Row],[N°]:[heures annuelles
selon contrat(s)]])=0,"",REVEX!$E$9)</f>
        <v>0</v>
      </c>
      <c r="AJ760" s="72" t="str">
        <f>IF(SalCommune[[#This Row],[Allocations fonctions]]="","",IF(ISNA(VLOOKUP(SalCommune[[#This Row],[Allocations fonctions]],DROPDOWN[Dropdown82],1,FALSE))=TRUE,"&lt;-- Veuillez choisir l'allocation parmis la liste déroulante.",""))</f>
        <v/>
      </c>
    </row>
    <row r="761" spans="1:36" x14ac:dyDescent="0.25">
      <c r="A761" s="72" t="str">
        <f>IF(SalCommune[[#This Row],[Statut]]="","",IF(ISNA(VLOOKUP(SalCommune[[#This Row],[Statut]],'Grille communale'!$B$3:$B$5,1,FALSE))=TRUE,"Veuillez choisir le statut parmis la liste déroulante",""))</f>
        <v/>
      </c>
      <c r="B761" s="725" t="str">
        <f>IF(SalCommune[[#This Row],[Matricule]]="","",MAX($B$7:B760)+1)</f>
        <v/>
      </c>
      <c r="C761" s="8"/>
      <c r="D761" s="8"/>
      <c r="E761" s="20"/>
      <c r="F761" s="8"/>
      <c r="G761" s="8"/>
      <c r="H761" s="9"/>
      <c r="I761" s="9"/>
      <c r="J761" s="9"/>
      <c r="K761" s="10"/>
      <c r="L761" s="10"/>
      <c r="M761" s="9"/>
      <c r="N761" s="9"/>
      <c r="O761" s="9"/>
      <c r="P761"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1" s="9"/>
      <c r="R761" s="9"/>
      <c r="S761" s="9"/>
      <c r="T761" s="37"/>
      <c r="U761" s="37"/>
      <c r="V761" s="37"/>
      <c r="W761" s="37"/>
      <c r="X761" s="37"/>
      <c r="Y761" s="37"/>
      <c r="Z761"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1" s="37"/>
      <c r="AB761" s="66" t="str">
        <f>IF(COUNTA(SalCommune[[#This Row],[Nom]:[heures annuelles
selon contrat(s)]])=0,"",SalCommune[[#This Row],[Total global]]-ABS(SalCommune[[#This Row],[Dont non opposable]]))</f>
        <v/>
      </c>
      <c r="AC761" s="8"/>
      <c r="AD761" s="63"/>
      <c r="AE761" s="430"/>
      <c r="AF761" s="430"/>
      <c r="AG761" s="430"/>
      <c r="AH761" s="181"/>
      <c r="AI761" s="194">
        <f>IF(COUNTA(SalCommune[[#This Row],[N°]:[heures annuelles
selon contrat(s)]])=0,"",REVEX!$E$9)</f>
        <v>0</v>
      </c>
      <c r="AJ761" s="72" t="str">
        <f>IF(SalCommune[[#This Row],[Allocations fonctions]]="","",IF(ISNA(VLOOKUP(SalCommune[[#This Row],[Allocations fonctions]],DROPDOWN[Dropdown82],1,FALSE))=TRUE,"&lt;-- Veuillez choisir l'allocation parmis la liste déroulante.",""))</f>
        <v/>
      </c>
    </row>
    <row r="762" spans="1:36" x14ac:dyDescent="0.25">
      <c r="A762" s="72" t="str">
        <f>IF(SalCommune[[#This Row],[Statut]]="","",IF(ISNA(VLOOKUP(SalCommune[[#This Row],[Statut]],'Grille communale'!$B$3:$B$5,1,FALSE))=TRUE,"Veuillez choisir le statut parmis la liste déroulante",""))</f>
        <v/>
      </c>
      <c r="B762" s="725" t="str">
        <f>IF(SalCommune[[#This Row],[Matricule]]="","",MAX($B$7:B761)+1)</f>
        <v/>
      </c>
      <c r="C762" s="8"/>
      <c r="D762" s="8"/>
      <c r="E762" s="20"/>
      <c r="F762" s="8"/>
      <c r="G762" s="8"/>
      <c r="H762" s="9"/>
      <c r="I762" s="9"/>
      <c r="J762" s="9"/>
      <c r="K762" s="10"/>
      <c r="L762" s="10"/>
      <c r="M762" s="9"/>
      <c r="N762" s="9"/>
      <c r="O762" s="9"/>
      <c r="P762"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2" s="9"/>
      <c r="R762" s="9"/>
      <c r="S762" s="9"/>
      <c r="T762" s="37"/>
      <c r="U762" s="37"/>
      <c r="V762" s="37"/>
      <c r="W762" s="37"/>
      <c r="X762" s="37"/>
      <c r="Y762" s="37"/>
      <c r="Z762"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2" s="37"/>
      <c r="AB762" s="66" t="str">
        <f>IF(COUNTA(SalCommune[[#This Row],[Nom]:[heures annuelles
selon contrat(s)]])=0,"",SalCommune[[#This Row],[Total global]]-ABS(SalCommune[[#This Row],[Dont non opposable]]))</f>
        <v/>
      </c>
      <c r="AC762" s="8"/>
      <c r="AD762" s="63"/>
      <c r="AE762" s="430"/>
      <c r="AF762" s="430"/>
      <c r="AG762" s="430"/>
      <c r="AH762" s="181"/>
      <c r="AI762" s="194">
        <f>IF(COUNTA(SalCommune[[#This Row],[N°]:[heures annuelles
selon contrat(s)]])=0,"",REVEX!$E$9)</f>
        <v>0</v>
      </c>
      <c r="AJ762" s="72" t="str">
        <f>IF(SalCommune[[#This Row],[Allocations fonctions]]="","",IF(ISNA(VLOOKUP(SalCommune[[#This Row],[Allocations fonctions]],DROPDOWN[Dropdown82],1,FALSE))=TRUE,"&lt;-- Veuillez choisir l'allocation parmis la liste déroulante.",""))</f>
        <v/>
      </c>
    </row>
    <row r="763" spans="1:36" x14ac:dyDescent="0.25">
      <c r="A763" s="72" t="str">
        <f>IF(SalCommune[[#This Row],[Statut]]="","",IF(ISNA(VLOOKUP(SalCommune[[#This Row],[Statut]],'Grille communale'!$B$3:$B$5,1,FALSE))=TRUE,"Veuillez choisir le statut parmis la liste déroulante",""))</f>
        <v/>
      </c>
      <c r="B763" s="725" t="str">
        <f>IF(SalCommune[[#This Row],[Matricule]]="","",MAX($B$7:B762)+1)</f>
        <v/>
      </c>
      <c r="C763" s="8"/>
      <c r="D763" s="8"/>
      <c r="E763" s="20"/>
      <c r="F763" s="8"/>
      <c r="G763" s="8"/>
      <c r="H763" s="9"/>
      <c r="I763" s="9"/>
      <c r="J763" s="9"/>
      <c r="K763" s="10"/>
      <c r="L763" s="10"/>
      <c r="M763" s="9"/>
      <c r="N763" s="9"/>
      <c r="O763" s="9"/>
      <c r="P763"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3" s="9"/>
      <c r="R763" s="9"/>
      <c r="S763" s="9"/>
      <c r="T763" s="37"/>
      <c r="U763" s="37"/>
      <c r="V763" s="37"/>
      <c r="W763" s="37"/>
      <c r="X763" s="37"/>
      <c r="Y763" s="37"/>
      <c r="Z763"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3" s="37"/>
      <c r="AB763" s="66" t="str">
        <f>IF(COUNTA(SalCommune[[#This Row],[Nom]:[heures annuelles
selon contrat(s)]])=0,"",SalCommune[[#This Row],[Total global]]-ABS(SalCommune[[#This Row],[Dont non opposable]]))</f>
        <v/>
      </c>
      <c r="AC763" s="8"/>
      <c r="AD763" s="63"/>
      <c r="AE763" s="430"/>
      <c r="AF763" s="430"/>
      <c r="AG763" s="430"/>
      <c r="AH763" s="181"/>
      <c r="AI763" s="194">
        <f>IF(COUNTA(SalCommune[[#This Row],[N°]:[heures annuelles
selon contrat(s)]])=0,"",REVEX!$E$9)</f>
        <v>0</v>
      </c>
      <c r="AJ763" s="72" t="str">
        <f>IF(SalCommune[[#This Row],[Allocations fonctions]]="","",IF(ISNA(VLOOKUP(SalCommune[[#This Row],[Allocations fonctions]],DROPDOWN[Dropdown82],1,FALSE))=TRUE,"&lt;-- Veuillez choisir l'allocation parmis la liste déroulante.",""))</f>
        <v/>
      </c>
    </row>
    <row r="764" spans="1:36" x14ac:dyDescent="0.25">
      <c r="A764" s="72" t="str">
        <f>IF(SalCommune[[#This Row],[Statut]]="","",IF(ISNA(VLOOKUP(SalCommune[[#This Row],[Statut]],'Grille communale'!$B$3:$B$5,1,FALSE))=TRUE,"Veuillez choisir le statut parmis la liste déroulante",""))</f>
        <v/>
      </c>
      <c r="B764" s="725" t="str">
        <f>IF(SalCommune[[#This Row],[Matricule]]="","",MAX($B$7:B763)+1)</f>
        <v/>
      </c>
      <c r="C764" s="8"/>
      <c r="D764" s="8"/>
      <c r="E764" s="20"/>
      <c r="F764" s="8"/>
      <c r="G764" s="8"/>
      <c r="H764" s="9"/>
      <c r="I764" s="9"/>
      <c r="J764" s="9"/>
      <c r="K764" s="10"/>
      <c r="L764" s="10"/>
      <c r="M764" s="9"/>
      <c r="N764" s="9"/>
      <c r="O764" s="9"/>
      <c r="P764"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4" s="9"/>
      <c r="R764" s="9"/>
      <c r="S764" s="9"/>
      <c r="T764" s="37"/>
      <c r="U764" s="37"/>
      <c r="V764" s="37"/>
      <c r="W764" s="37"/>
      <c r="X764" s="37"/>
      <c r="Y764" s="37"/>
      <c r="Z764"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4" s="37"/>
      <c r="AB764" s="66" t="str">
        <f>IF(COUNTA(SalCommune[[#This Row],[Nom]:[heures annuelles
selon contrat(s)]])=0,"",SalCommune[[#This Row],[Total global]]-ABS(SalCommune[[#This Row],[Dont non opposable]]))</f>
        <v/>
      </c>
      <c r="AC764" s="8"/>
      <c r="AD764" s="63"/>
      <c r="AE764" s="430"/>
      <c r="AF764" s="430"/>
      <c r="AG764" s="430"/>
      <c r="AH764" s="181"/>
      <c r="AI764" s="194">
        <f>IF(COUNTA(SalCommune[[#This Row],[N°]:[heures annuelles
selon contrat(s)]])=0,"",REVEX!$E$9)</f>
        <v>0</v>
      </c>
      <c r="AJ764" s="72" t="str">
        <f>IF(SalCommune[[#This Row],[Allocations fonctions]]="","",IF(ISNA(VLOOKUP(SalCommune[[#This Row],[Allocations fonctions]],DROPDOWN[Dropdown82],1,FALSE))=TRUE,"&lt;-- Veuillez choisir l'allocation parmis la liste déroulante.",""))</f>
        <v/>
      </c>
    </row>
    <row r="765" spans="1:36" x14ac:dyDescent="0.25">
      <c r="A765" s="72" t="str">
        <f>IF(SalCommune[[#This Row],[Statut]]="","",IF(ISNA(VLOOKUP(SalCommune[[#This Row],[Statut]],'Grille communale'!$B$3:$B$5,1,FALSE))=TRUE,"Veuillez choisir le statut parmis la liste déroulante",""))</f>
        <v/>
      </c>
      <c r="B765" s="725" t="str">
        <f>IF(SalCommune[[#This Row],[Matricule]]="","",MAX($B$7:B764)+1)</f>
        <v/>
      </c>
      <c r="C765" s="8"/>
      <c r="D765" s="8"/>
      <c r="E765" s="20"/>
      <c r="F765" s="8"/>
      <c r="G765" s="8"/>
      <c r="H765" s="9"/>
      <c r="I765" s="9"/>
      <c r="J765" s="9"/>
      <c r="K765" s="10"/>
      <c r="L765" s="10"/>
      <c r="M765" s="9"/>
      <c r="N765" s="9"/>
      <c r="O765" s="9"/>
      <c r="P765"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5" s="9"/>
      <c r="R765" s="9"/>
      <c r="S765" s="9"/>
      <c r="T765" s="37"/>
      <c r="U765" s="37"/>
      <c r="V765" s="37"/>
      <c r="W765" s="37"/>
      <c r="X765" s="37"/>
      <c r="Y765" s="37"/>
      <c r="Z765"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5" s="37"/>
      <c r="AB765" s="66" t="str">
        <f>IF(COUNTA(SalCommune[[#This Row],[Nom]:[heures annuelles
selon contrat(s)]])=0,"",SalCommune[[#This Row],[Total global]]-ABS(SalCommune[[#This Row],[Dont non opposable]]))</f>
        <v/>
      </c>
      <c r="AC765" s="8"/>
      <c r="AD765" s="63"/>
      <c r="AE765" s="430"/>
      <c r="AF765" s="430"/>
      <c r="AG765" s="430"/>
      <c r="AH765" s="181"/>
      <c r="AI765" s="194">
        <f>IF(COUNTA(SalCommune[[#This Row],[N°]:[heures annuelles
selon contrat(s)]])=0,"",REVEX!$E$9)</f>
        <v>0</v>
      </c>
      <c r="AJ765" s="72" t="str">
        <f>IF(SalCommune[[#This Row],[Allocations fonctions]]="","",IF(ISNA(VLOOKUP(SalCommune[[#This Row],[Allocations fonctions]],DROPDOWN[Dropdown82],1,FALSE))=TRUE,"&lt;-- Veuillez choisir l'allocation parmis la liste déroulante.",""))</f>
        <v/>
      </c>
    </row>
    <row r="766" spans="1:36" x14ac:dyDescent="0.25">
      <c r="A766" s="72" t="str">
        <f>IF(SalCommune[[#This Row],[Statut]]="","",IF(ISNA(VLOOKUP(SalCommune[[#This Row],[Statut]],'Grille communale'!$B$3:$B$5,1,FALSE))=TRUE,"Veuillez choisir le statut parmis la liste déroulante",""))</f>
        <v/>
      </c>
      <c r="B766" s="725" t="str">
        <f>IF(SalCommune[[#This Row],[Matricule]]="","",MAX($B$7:B765)+1)</f>
        <v/>
      </c>
      <c r="C766" s="8"/>
      <c r="D766" s="8"/>
      <c r="E766" s="20"/>
      <c r="F766" s="8"/>
      <c r="G766" s="8"/>
      <c r="H766" s="9"/>
      <c r="I766" s="9"/>
      <c r="J766" s="9"/>
      <c r="K766" s="10"/>
      <c r="L766" s="10"/>
      <c r="M766" s="9"/>
      <c r="N766" s="9"/>
      <c r="O766" s="9"/>
      <c r="P766"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6" s="9"/>
      <c r="R766" s="9"/>
      <c r="S766" s="9"/>
      <c r="T766" s="37"/>
      <c r="U766" s="37"/>
      <c r="V766" s="37"/>
      <c r="W766" s="37"/>
      <c r="X766" s="37"/>
      <c r="Y766" s="37"/>
      <c r="Z766"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6" s="37"/>
      <c r="AB766" s="66" t="str">
        <f>IF(COUNTA(SalCommune[[#This Row],[Nom]:[heures annuelles
selon contrat(s)]])=0,"",SalCommune[[#This Row],[Total global]]-ABS(SalCommune[[#This Row],[Dont non opposable]]))</f>
        <v/>
      </c>
      <c r="AC766" s="8"/>
      <c r="AD766" s="63"/>
      <c r="AE766" s="430"/>
      <c r="AF766" s="430"/>
      <c r="AG766" s="430"/>
      <c r="AH766" s="181"/>
      <c r="AI766" s="194">
        <f>IF(COUNTA(SalCommune[[#This Row],[N°]:[heures annuelles
selon contrat(s)]])=0,"",REVEX!$E$9)</f>
        <v>0</v>
      </c>
      <c r="AJ766" s="72" t="str">
        <f>IF(SalCommune[[#This Row],[Allocations fonctions]]="","",IF(ISNA(VLOOKUP(SalCommune[[#This Row],[Allocations fonctions]],DROPDOWN[Dropdown82],1,FALSE))=TRUE,"&lt;-- Veuillez choisir l'allocation parmis la liste déroulante.",""))</f>
        <v/>
      </c>
    </row>
    <row r="767" spans="1:36" x14ac:dyDescent="0.25">
      <c r="A767" s="72" t="str">
        <f>IF(SalCommune[[#This Row],[Statut]]="","",IF(ISNA(VLOOKUP(SalCommune[[#This Row],[Statut]],'Grille communale'!$B$3:$B$5,1,FALSE))=TRUE,"Veuillez choisir le statut parmis la liste déroulante",""))</f>
        <v/>
      </c>
      <c r="B767" s="725" t="str">
        <f>IF(SalCommune[[#This Row],[Matricule]]="","",MAX($B$7:B766)+1)</f>
        <v/>
      </c>
      <c r="C767" s="8"/>
      <c r="D767" s="8"/>
      <c r="E767" s="20"/>
      <c r="F767" s="8"/>
      <c r="G767" s="8"/>
      <c r="H767" s="9"/>
      <c r="I767" s="9"/>
      <c r="J767" s="9"/>
      <c r="K767" s="10"/>
      <c r="L767" s="10"/>
      <c r="M767" s="9"/>
      <c r="N767" s="9"/>
      <c r="O767" s="9"/>
      <c r="P767"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7" s="9"/>
      <c r="R767" s="9"/>
      <c r="S767" s="9"/>
      <c r="T767" s="37"/>
      <c r="U767" s="37"/>
      <c r="V767" s="37"/>
      <c r="W767" s="37"/>
      <c r="X767" s="37"/>
      <c r="Y767" s="37"/>
      <c r="Z767"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7" s="37"/>
      <c r="AB767" s="66" t="str">
        <f>IF(COUNTA(SalCommune[[#This Row],[Nom]:[heures annuelles
selon contrat(s)]])=0,"",SalCommune[[#This Row],[Total global]]-ABS(SalCommune[[#This Row],[Dont non opposable]]))</f>
        <v/>
      </c>
      <c r="AC767" s="8"/>
      <c r="AD767" s="63"/>
      <c r="AE767" s="430"/>
      <c r="AF767" s="430"/>
      <c r="AG767" s="430"/>
      <c r="AH767" s="181"/>
      <c r="AI767" s="194">
        <f>IF(COUNTA(SalCommune[[#This Row],[N°]:[heures annuelles
selon contrat(s)]])=0,"",REVEX!$E$9)</f>
        <v>0</v>
      </c>
      <c r="AJ767" s="72" t="str">
        <f>IF(SalCommune[[#This Row],[Allocations fonctions]]="","",IF(ISNA(VLOOKUP(SalCommune[[#This Row],[Allocations fonctions]],DROPDOWN[Dropdown82],1,FALSE))=TRUE,"&lt;-- Veuillez choisir l'allocation parmis la liste déroulante.",""))</f>
        <v/>
      </c>
    </row>
    <row r="768" spans="1:36" x14ac:dyDescent="0.25">
      <c r="A768" s="72" t="str">
        <f>IF(SalCommune[[#This Row],[Statut]]="","",IF(ISNA(VLOOKUP(SalCommune[[#This Row],[Statut]],'Grille communale'!$B$3:$B$5,1,FALSE))=TRUE,"Veuillez choisir le statut parmis la liste déroulante",""))</f>
        <v/>
      </c>
      <c r="B768" s="725" t="str">
        <f>IF(SalCommune[[#This Row],[Matricule]]="","",MAX($B$7:B767)+1)</f>
        <v/>
      </c>
      <c r="C768" s="8"/>
      <c r="D768" s="8"/>
      <c r="E768" s="20"/>
      <c r="F768" s="8"/>
      <c r="G768" s="8"/>
      <c r="H768" s="9"/>
      <c r="I768" s="9"/>
      <c r="J768" s="9"/>
      <c r="K768" s="10"/>
      <c r="L768" s="10"/>
      <c r="M768" s="9"/>
      <c r="N768" s="9"/>
      <c r="O768" s="9"/>
      <c r="P768"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8" s="9"/>
      <c r="R768" s="9"/>
      <c r="S768" s="9"/>
      <c r="T768" s="37"/>
      <c r="U768" s="37"/>
      <c r="V768" s="37"/>
      <c r="W768" s="37"/>
      <c r="X768" s="37"/>
      <c r="Y768" s="37"/>
      <c r="Z768" s="66">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8" s="37"/>
      <c r="AB768" s="66" t="str">
        <f>IF(COUNTA(SalCommune[[#This Row],[Nom]:[heures annuelles
selon contrat(s)]])=0,"",SalCommune[[#This Row],[Total global]]-ABS(SalCommune[[#This Row],[Dont non opposable]]))</f>
        <v/>
      </c>
      <c r="AC768" s="8"/>
      <c r="AD768" s="63"/>
      <c r="AE768" s="430"/>
      <c r="AF768" s="430"/>
      <c r="AG768" s="430"/>
      <c r="AH768" s="181"/>
      <c r="AI768" s="194">
        <f>IF(COUNTA(SalCommune[[#This Row],[N°]:[heures annuelles
selon contrat(s)]])=0,"",REVEX!$E$9)</f>
        <v>0</v>
      </c>
      <c r="AJ768" s="72" t="str">
        <f>IF(SalCommune[[#This Row],[Allocations fonctions]]="","",IF(ISNA(VLOOKUP(SalCommune[[#This Row],[Allocations fonctions]],DROPDOWN[Dropdown82],1,FALSE))=TRUE,"&lt;-- Veuillez choisir l'allocation parmis la liste déroulante.",""))</f>
        <v/>
      </c>
    </row>
    <row r="769" spans="1:36" x14ac:dyDescent="0.25">
      <c r="A769" s="72" t="str">
        <f>IF(SalCommune[[#This Row],[Statut]]="","",IF(ISNA(VLOOKUP(SalCommune[[#This Row],[Statut]],'Grille communale'!$B$3:$B$5,1,FALSE))=TRUE,"Veuillez choisir le statut parmis la liste déroulante",""))</f>
        <v/>
      </c>
      <c r="B769" s="725" t="str">
        <f>IF(SalCommune[[#This Row],[Matricule]]="","",MAX($B$7:B768)+1)</f>
        <v/>
      </c>
      <c r="C769" s="8"/>
      <c r="D769" s="8"/>
      <c r="E769" s="20"/>
      <c r="F769" s="8"/>
      <c r="G769" s="8"/>
      <c r="H769" s="9"/>
      <c r="I769" s="9"/>
      <c r="J769" s="9"/>
      <c r="K769" s="10"/>
      <c r="L769" s="10"/>
      <c r="M769" s="9"/>
      <c r="N769" s="9"/>
      <c r="O769" s="9"/>
      <c r="P769" s="64">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69" s="9"/>
      <c r="R769" s="9"/>
      <c r="S769" s="9"/>
      <c r="T769" s="37"/>
      <c r="U769" s="37"/>
      <c r="V769" s="37"/>
      <c r="W769" s="37"/>
      <c r="X769" s="37"/>
      <c r="Y769" s="37"/>
      <c r="Z769" s="67">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69" s="37"/>
      <c r="AB769" s="67" t="str">
        <f>IF(COUNTA(SalCommune[[#This Row],[Nom]:[heures annuelles
selon contrat(s)]])=0,"",SalCommune[[#This Row],[Total global]]-ABS(SalCommune[[#This Row],[Dont non opposable]]))</f>
        <v/>
      </c>
      <c r="AC769" s="8"/>
      <c r="AD769" s="63"/>
      <c r="AE769" s="430"/>
      <c r="AF769" s="430"/>
      <c r="AG769" s="430"/>
      <c r="AH769" s="181"/>
      <c r="AI769" s="194">
        <f>IF(COUNTA(SalCommune[[#This Row],[N°]:[heures annuelles
selon contrat(s)]])=0,"",REVEX!$E$9)</f>
        <v>0</v>
      </c>
      <c r="AJ769" s="72" t="str">
        <f>IF(SalCommune[[#This Row],[Allocations fonctions]]="","",IF(ISNA(VLOOKUP(SalCommune[[#This Row],[Allocations fonctions]],DROPDOWN[Dropdown82],1,FALSE))=TRUE,"&lt;-- Veuillez choisir l'allocation parmis la liste déroulante.",""))</f>
        <v/>
      </c>
    </row>
    <row r="770" spans="1:36" x14ac:dyDescent="0.25">
      <c r="B770" s="725" t="str">
        <f>IF(SalCommune[[#This Row],[Matricule]]="","",MAX($B$7:B769)+1)</f>
        <v/>
      </c>
      <c r="C770" s="63"/>
      <c r="D770" s="63"/>
      <c r="E770" s="716"/>
      <c r="F770" s="63"/>
      <c r="G770" s="63"/>
      <c r="H770" s="717"/>
      <c r="I770" s="717"/>
      <c r="J770" s="717"/>
      <c r="K770" s="718"/>
      <c r="L770" s="718"/>
      <c r="M770" s="717"/>
      <c r="N770" s="717"/>
      <c r="O770" s="717"/>
      <c r="P770" s="719">
        <f>IF(COUNTA(SalCommune[[#This Row],[N°]:[heures annuelles
selon contrat(s)]])=0,"",IF(OR(LEFT(SalCommune[[#This Row],[Carrière]],9)="Stagiaire",LEFT(SalCommune[[#This Row],[Carrière]],8)="Étudiant")=TRUE,0,IF(LEFT(SalCommune[[#This Row],[Statut]],1)="S",IF(((SalCommune[[#This Row],[heures annuelles
selon contrat(s)]]-SalCommune[[#This Row],[Autres heures d''absences motivées]]-SalCommune[[#This Row],[Heures de maladie]])/RTT!$D$6)*RTT!$D$21&lt;0,0,((SalCommune[[#This Row],[heures annuelles
selon contrat(s)]]-SalCommune[[#This Row],[Autres heures d''absences motivées]]-SalCommune[[#This Row],[Heures de maladie]])/RTT!$D$6)*RTT!$D$21),IF(((SalCommune[[#This Row],[heures annuelles
selon contrat(s)]]-SalCommune[[#This Row],[Heures de congé de maternité]]-SalCommune[[#This Row],[Autres heures d''absences motivées]])/RTT!$F$6)*RTT!$F$21&lt;0,0,((SalCommune[[#This Row],[heures annuelles
selon contrat(s)]]-SalCommune[[#This Row],[Heures de congé de maternité]]-SalCommune[[#This Row],[Autres heures d''absences motivées]])/RTT!$F$6)*RTT!$F$21))))</f>
        <v>0</v>
      </c>
      <c r="Q770" s="717"/>
      <c r="R770" s="717"/>
      <c r="S770" s="717"/>
      <c r="T770" s="720"/>
      <c r="U770" s="720"/>
      <c r="V770" s="720"/>
      <c r="W770" s="720"/>
      <c r="X770" s="720"/>
      <c r="Y770" s="720"/>
      <c r="Z770" s="721">
        <f>IF(COUNTA(SalCommune[[#This Row],[N°]:[heures annuelles
selon contrat(s)]])=0,"",SalCommune[[#This Row],[Brut]]+SalCommune[[#This Row],[Autres Primes]]+SalCommune[[#This Row],[Part patronale]]-ABS(SalCommune[[#This Row],[Remboursement Mutualité 
(SALARIÉ(E)S)]])-ABS(SalCommune[[#This Row],[Remboursement Formateur accrédité par SNJ]])-ABS(SalCommune[[#This Row],[Remboursement
Autres]]))</f>
        <v>0</v>
      </c>
      <c r="AA770" s="720"/>
      <c r="AB770" s="721" t="str">
        <f>IF(COUNTA(SalCommune[[#This Row],[Nom]:[heures annuelles
selon contrat(s)]])=0,"",SalCommune[[#This Row],[Total global]]-ABS(SalCommune[[#This Row],[Dont non opposable]]))</f>
        <v/>
      </c>
      <c r="AC770" s="63"/>
      <c r="AD770" s="63"/>
      <c r="AE770" s="430"/>
      <c r="AF770" s="430"/>
      <c r="AG770" s="430"/>
      <c r="AH770" s="722"/>
      <c r="AI770" s="431">
        <f>IF(COUNTA(SalCommune[[#This Row],[N°]:[heures annuelles
selon contrat(s)]])=0,"",REVEX!$E$9)</f>
        <v>0</v>
      </c>
    </row>
    <row r="771" spans="1:36" x14ac:dyDescent="0.25">
      <c r="B771" s="7" t="s">
        <v>31</v>
      </c>
      <c r="C771" s="8"/>
      <c r="D771" s="8"/>
      <c r="E771" s="8"/>
      <c r="F771" s="8"/>
      <c r="G771" s="8"/>
      <c r="H771" s="39"/>
      <c r="I771" s="8"/>
      <c r="J771" s="8"/>
      <c r="K771" s="8"/>
      <c r="L771" s="8"/>
      <c r="M771" s="189">
        <f>SUBTOTAL(109,SalCommune[heures annuelles
selon contrat(s)])</f>
        <v>0</v>
      </c>
      <c r="N771" s="189"/>
      <c r="O771" s="189"/>
      <c r="P771" s="189">
        <f>SUBTOTAL(109,SalCommune[Heures annuelles RTT])</f>
        <v>0</v>
      </c>
      <c r="Q771" s="189">
        <f>SUBTOTAL(109,SalCommune[Heures de maladie])</f>
        <v>0</v>
      </c>
      <c r="R771" s="189">
        <f>SUBTOTAL(109,SalCommune[Heures PEP (compris dans les heures contrats)])</f>
        <v>0</v>
      </c>
      <c r="S771" s="189"/>
      <c r="T771" s="190">
        <f>SUBTOTAL(109,SalCommune[Brut])</f>
        <v>0</v>
      </c>
      <c r="U771" s="190">
        <f>SUBTOTAL(109,SalCommune[Autres Primes])</f>
        <v>0</v>
      </c>
      <c r="V771" s="190">
        <f>SUBTOTAL(109,SalCommune[Part patronale])</f>
        <v>0</v>
      </c>
      <c r="W771" s="190">
        <f>SUBTOTAL(109,SalCommune[Remboursement Mutualité 
(SALARIÉ(E)S)])</f>
        <v>0</v>
      </c>
      <c r="X771" s="190"/>
      <c r="Y771" s="190">
        <f>SUBTOTAL(109,SalCommune[Remboursement
Autres])</f>
        <v>0</v>
      </c>
      <c r="Z771" s="190">
        <f>SUBTOTAL(109,SalCommune[Total global])</f>
        <v>0</v>
      </c>
      <c r="AA771" s="190">
        <f>SUBTOTAL(109,SalCommune[Dont non opposable])</f>
        <v>0</v>
      </c>
      <c r="AB771" s="190">
        <f>SUBTOTAL(109,SalCommune[Total éligible])</f>
        <v>0</v>
      </c>
      <c r="AC771" s="8"/>
      <c r="AD771" s="75"/>
      <c r="AE771" s="431"/>
      <c r="AF771" s="431"/>
      <c r="AG771" s="431"/>
      <c r="AH771" s="8"/>
      <c r="AI771" s="7"/>
    </row>
  </sheetData>
  <sheetProtection algorithmName="SHA-512" hashValue="acfAJ2Yis/6+emLLrl2TQUar/SwfohPHxDmwZgNAw3uujquue/Aiv8Ngply6SIMMvrfk8vLosxX8iZ6ij48HVw==" saltValue="IC7lTxfpjwUvlBT9KwX5Pg==" spinCount="100000" sheet="1" selectLockedCells="1" autoFilter="0"/>
  <phoneticPr fontId="18" type="noConversion"/>
  <conditionalFormatting sqref="R7:R770 N7:O770">
    <cfRule type="expression" dxfId="196" priority="3">
      <formula>($R7+$O7+$N7)&gt;$M7</formula>
    </cfRule>
  </conditionalFormatting>
  <conditionalFormatting sqref="Q7:Q770 S7:S770">
    <cfRule type="cellIs" dxfId="195" priority="2" operator="greaterThan">
      <formula>$M7</formula>
    </cfRule>
  </conditionalFormatting>
  <dataValidations count="15">
    <dataValidation type="whole" allowBlank="1" showInputMessage="1" showErrorMessage="1" errorTitle="Matricule" error="Veuillez renseigner la matricule sous le format suivant: 2018123112345" promptTitle="Matricule" prompt="Veuillez renseigner la matricule sous le format suivant: 2018123112345" sqref="E7:E770" xr:uid="{00000000-0002-0000-0700-000001000000}">
      <formula1>1000000000000</formula1>
      <formula2>9999999999999</formula2>
    </dataValidation>
    <dataValidation type="decimal" allowBlank="1" showInputMessage="1" showErrorMessage="1" errorTitle="Ancienneté" error="La valeur doit être entre 0 et 40" promptTitle="Ancienneté" prompt="Veuillez indiquer l'ancienneté en année de 0 à 40" sqref="I7:I770" xr:uid="{E04E8137-78EF-4E19-96B6-FBD3BA5A481D}">
      <formula1>0</formula1>
      <formula2>40</formula2>
    </dataValidation>
    <dataValidation type="decimal" operator="greaterThanOrEqual" allowBlank="1" showInputMessage="1" showErrorMessage="1" promptTitle="Points" prompt="Merci de ne mentionner que les éléments relatifs au salaire de base. Toutes les primes doivent être saisies dans la colonne &quot;Primes convention&quot; (Prime de responsabilité) ou &quot;Autres primes&quot;." sqref="J7:J770" xr:uid="{3FBDCA98-106E-49F1-A97B-2FBCD0C3346D}">
      <formula1>0</formula1>
    </dataValidation>
    <dataValidation allowBlank="1" showInputMessage="1" showErrorMessage="1" errorTitle="DONT heures supplémenataire UKR" error="Il n'est pas possible que les heures dans le cadre de la crise ukrainienne sont plus grand que les heures selon contrats._x000a_(cf NOTE EXPLICATIVE)_x000a_" promptTitle="DONT heures supplémenataire UKR" prompt="Le gestionnaire introduit toutes les heures annuelles selon contrat(s) engagé dans le cadre de la crise ukrainienne._x000a__x000a_DONC, il n'est pas possible que les heures soient plus élevées que les heures selon contrats._x000a_" sqref="N7:N770" xr:uid="{835F941F-7C33-4C32-A72A-971C3A7B12C7}"/>
    <dataValidation allowBlank="1" showInputMessage="1" showErrorMessage="1" promptTitle="Plan d'Encadrement Périscolaire" prompt="Merci de bien vouloir spécifier les heures d'intervention du personnel d'encadrement du SEA sur le site de l'école fondamentale pendant les heures scolaires régulières." sqref="R7:R770" xr:uid="{680CCB16-17C7-49D1-B1AA-F46FA8DC93F0}"/>
    <dataValidation type="decimal" operator="greaterThanOrEqual" allowBlank="1" showInputMessage="1" showErrorMessage="1" promptTitle="Autres primes" prompt="Dans la colonne &quot;autres primes&quot; veuillez indiquer uniquement les primes de responsabilité, limitées à 60 points pour le personnel ayant des responsabilités hiérarchiques et directement liées à l'activité du SEA." sqref="U7:U770" xr:uid="{D624634B-D873-49F7-97CC-C8EC11FD94CA}">
      <formula1>0</formula1>
    </dataValidation>
    <dataValidation type="decimal" operator="greaterThanOrEqual" allowBlank="1" showInputMessage="1" showErrorMessage="1" promptTitle="Part Patonale" prompt="Indiquez la part patronale, comprenant des éléments tels que les cotisations sociales, etc. _x000a__x000a_Si vous avez des remboursements de mutuelle à rembourser, veuillez les inclure également ici." sqref="V7:V770" xr:uid="{5716DD5B-1F1C-41CB-BE4C-CAF324DE35A5}">
      <formula1>0</formula1>
    </dataValidation>
    <dataValidation type="decimal" operator="greaterThanOrEqual" allowBlank="1" showInputMessage="1" showErrorMessage="1" promptTitle="Remboursement Mutualité" prompt="Si vous avez des remboursements de mutuelle à rembourser, veuillez les inclure dans la colonne &quot;Part Patronale&quot;" sqref="W7:W770" xr:uid="{3A5FFC72-7BEC-4BC9-8D70-775779CED5D9}">
      <formula1>0</formula1>
    </dataValidation>
    <dataValidation type="decimal" operator="greaterThanOrEqual" allowBlank="1" showInputMessage="1" showErrorMessage="1" promptTitle="Remboursement SNJ" prompt="Veuillez fournir ici le remboursement du SNJ dans le contexte des formations dispensées ou des accompagnements professionnels organisés pour une agence de formation continue et d’accompagnement professionnel. _x000a_(cf. Convention Art. 11) " sqref="X7:X770" xr:uid="{23B08CA3-66D6-41C0-BBC7-74FD1E0E723F}">
      <formula1>0</formula1>
    </dataValidation>
    <dataValidation type="decimal" operator="greaterThanOrEqual" allowBlank="1" showInputMessage="1" showErrorMessage="1" promptTitle="Autres Remboursements" prompt="Merci d'indiquer tous les autres remboursements, par exemple ceux liés à des mesures de l'ADEM, DAP, etc." sqref="Y7:Y770" xr:uid="{248ED387-3D19-486F-97BF-9BC576843B64}">
      <formula1>0</formula1>
    </dataValidation>
    <dataValidation type="list" allowBlank="1" showInputMessage="1" showErrorMessage="1" errorTitle="Carrière" error="Merci de choisir les carrières dans la liste déroulante. _x000a__x000a_REMARQUE: Les salariés DAP et Étudiant dans la fonction Encadrement ne sont pas considérées pour les heures RTT." promptTitle="Carrière" prompt="Merci de choisir les carrières dans la liste déroulante. _x000a__x000a_REMARQUE: Pour les nouvelles carrières &quot;Stagiaire - Formation professionnelle&quot; veuillez consulter la note explicative." sqref="G7:G770" xr:uid="{00000000-0002-0000-0700-000000000000}">
      <formula1>INDIRECT(F7)</formula1>
    </dataValidation>
    <dataValidation type="decimal" operator="lessThanOrEqual" allowBlank="1" showInputMessage="1" showErrorMessage="1" errorTitle="Congé de maternité" error="La valeur ne peut pas dépasser les heures annuelles selon contrat(s)." promptTitle="Congé de maternité" prompt="Veuillez indiquer seulement les heures de congé de maternité des EMPLOYÉES et FONCTIONNAIRES dans cette colonne._x000a_Les heures de congé de maternité des SALARIÉES sont à inclure dans les heures de maladie. Autrement les heures ne seront pas déduit du RTT" sqref="H7:H770" xr:uid="{36DD305C-B5C7-49A6-8FA8-E7E38A713226}">
      <formula1>M7</formula1>
    </dataValidation>
    <dataValidation type="decimal" operator="lessThanOrEqual" allowBlank="1" showInputMessage="1" showErrorMessage="1" errorTitle="Hrs COVID compris dans hrs contr" error="Il n'est pas possible que les heures COVID sont plus grand que les heures selon contrats._x000a_(cf NOTE EXPLICATIVE)" promptTitle="DONT Heures COVID" prompt="Le gestionnaire introduit toutes les heures annuelles selon contrat(s) engagé pendant la phase Covid-19 et par salarié._x000a__x000a_DONC, il n'est pas possible que les heures COVID soient plus élevées que les heures selon contrats." sqref="O7:O770" xr:uid="{BF06DEB0-DC87-49D3-A4C9-F24C9A3C1160}">
      <formula1>M7</formula1>
    </dataValidation>
    <dataValidation type="decimal" operator="lessThanOrEqual" allowBlank="1" showInputMessage="1" showErrorMessage="1" errorTitle="Heures de maladie" error="Les heures de maladie ne peuvent pas dépasser les heures selon contrat(s)." promptTitle="Heures de maladie" prompt="Merci de noter les heures d'absence pour maladie ici." sqref="Q7:Q770" xr:uid="{0554D333-CD1E-4FA0-94D6-570D4C329C99}">
      <formula1>M7</formula1>
    </dataValidation>
    <dataValidation type="decimal" operator="lessThanOrEqual" allowBlank="1" showInputMessage="1" showErrorMessage="1" errorTitle="Autres absences motivées" error="Les heures d'autres absences motivées ne peuvent pas dépasser les heures selon contrat(s)." promptTitle="Autres Absences motivées" prompt="Veuillez spécifier toutes les autres absences justifiées, telles que les congés syndicaux, sportifs, etc." sqref="S7:S770" xr:uid="{4B6748A8-E931-4DD6-B791-8A4540916BC0}">
      <formula1>M7</formula1>
    </dataValidation>
  </dataValidations>
  <pageMargins left="0.7" right="0.7" top="0.75" bottom="0.75" header="0.3" footer="0.3"/>
  <pageSetup paperSize="9" scale="10"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4" id="{454C9199-A66F-437A-B00D-2DCB8FA04823}">
            <xm:f>AND('Informations générales 3'!$C$75="NON",$N7&gt;0)</xm:f>
            <x14:dxf>
              <fill>
                <patternFill>
                  <bgColor rgb="FFFF0000"/>
                </patternFill>
              </fill>
            </x14:dxf>
          </x14:cfRule>
          <xm:sqref>N7:N770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3000000}">
          <x14:formula1>
            <xm:f>'Informations générales 2'!$C$8:$C$47</xm:f>
          </x14:formula1>
          <xm:sqref>AC7:AC770</xm:sqref>
        </x14:dataValidation>
        <x14:dataValidation type="list" allowBlank="1" showInputMessage="1" showErrorMessage="1" xr:uid="{00000000-0002-0000-0700-000005000000}">
          <x14:formula1>
            <xm:f>'Variable et Dropdowns'!$K$2:$K$7</xm:f>
          </x14:formula1>
          <xm:sqref>AG7:AG770</xm:sqref>
        </x14:dataValidation>
        <x14:dataValidation type="list" allowBlank="1" showInputMessage="1" showErrorMessage="1" xr:uid="{00000000-0002-0000-0700-000006000000}">
          <x14:formula1>
            <xm:f>'Grille communale'!$D$2:$F$2</xm:f>
          </x14:formula1>
          <xm:sqref>F7:F770</xm:sqref>
        </x14:dataValidation>
        <x14:dataValidation type="date" allowBlank="1" showInputMessage="1" showErrorMessage="1" promptTitle="Date fin 2024" prompt="Dans la colonne &quot;au...&quot;, veuillez renseigner la date de fin de contrat. Pour les contrats à durée indéterminée, veuillez indiquer le 31/12/2024." xr:uid="{A9525FDB-69A0-4A2B-A3CF-D6E9608F499F}">
          <x14:formula1>
            <xm:f>DATE('Informations générales 1'!$C$10,1,1)</xm:f>
          </x14:formula1>
          <x14:formula2>
            <xm:f>DATE('Informations générales 1'!$C$10,12,31)</xm:f>
          </x14:formula2>
          <xm:sqref>L7:L770</xm:sqref>
        </x14:dataValidation>
        <x14:dataValidation type="decimal" allowBlank="1" showInputMessage="1" showErrorMessage="1" errorTitle="Heures annuelles" error="La valeur doit être entre 0 et 2096._x000a_Tâche comlête = 2096hrs" promptTitle="Heures annuelles" prompt="Une tâche à temps complet (40 heures par semaine) engagée du 1er janvier 2024 au 31 décembre 2024 totalise 2096 heures par an. Ainsi, du 1er juillet 2024 au 31 décembre 2024, elle équivaut à 1048 heures annuelles." xr:uid="{FB4E12E4-4A3A-4429-BFBD-2BBFEE7A0BC2}">
          <x14:formula1>
            <xm:f>0</xm:f>
          </x14:formula1>
          <x14:formula2>
            <xm:f>RTT!$D$6</xm:f>
          </x14:formula2>
          <xm:sqref>M7:M770</xm:sqref>
        </x14:dataValidation>
        <x14:dataValidation type="list" allowBlank="1" showInputMessage="1" showErrorMessage="1" xr:uid="{00000000-0002-0000-0700-000004000000}">
          <x14:formula1>
            <xm:f>'Variable et Dropdowns'!$H$3:$H$21</xm:f>
          </x14:formula1>
          <xm:sqref>AD7:AD770</xm:sqref>
        </x14:dataValidation>
        <x14:dataValidation type="date" allowBlank="1" showInputMessage="1" showErrorMessage="1" promptTitle="Date début 2024" prompt="Dans la colonne &quot;Engagé(e) en 2024 du...&quot;, veuillez saisir la date de début de contrat. Si l'employé est engagé avant le 1er janvier 2024, veuillez tout de même indiquer le 1er janvier 2024." xr:uid="{5765337C-EF9C-4EAF-828A-CEB6F9BEE371}">
          <x14:formula1>
            <xm:f>DATE('Informations générales 1'!$C$10,1,1)</xm:f>
          </x14:formula1>
          <x14:formula2>
            <xm:f>DATE('Informations générales 1'!$C$10,12,31)</xm:f>
          </x14:formula2>
          <xm:sqref>K7:K770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59999389629810485"/>
    <pageSetUpPr fitToPage="1"/>
  </sheetPr>
  <dimension ref="B1:I101"/>
  <sheetViews>
    <sheetView zoomScale="85" zoomScaleNormal="85" workbookViewId="0">
      <selection activeCell="E9" sqref="E9"/>
    </sheetView>
  </sheetViews>
  <sheetFormatPr defaultColWidth="9.140625" defaultRowHeight="15" x14ac:dyDescent="0.25"/>
  <cols>
    <col min="1" max="1" width="9.140625" style="2"/>
    <col min="2" max="2" width="23.5703125" style="2" customWidth="1"/>
    <col min="3" max="3" width="79.5703125" style="2" customWidth="1"/>
    <col min="4" max="4" width="29" style="378" customWidth="1"/>
    <col min="5" max="5" width="37.42578125" style="2" bestFit="1" customWidth="1"/>
    <col min="6" max="6" width="75.42578125" style="2" hidden="1" customWidth="1"/>
    <col min="7" max="7" width="19" style="2" customWidth="1"/>
    <col min="8" max="16384" width="9.140625" style="2"/>
  </cols>
  <sheetData>
    <row r="1" spans="2:9" x14ac:dyDescent="0.25">
      <c r="B1" s="11" t="str">
        <f>'Informations générales 1'!B7</f>
        <v>DECOMPTE ANNUEL</v>
      </c>
    </row>
    <row r="2" spans="2:9" x14ac:dyDescent="0.25">
      <c r="B2" s="11" t="str">
        <f>'Informations générales 1'!C20&amp;" - "&amp;'Informations générales 1'!C24</f>
        <v>Nom Gestionnaire - Nom SEA</v>
      </c>
    </row>
    <row r="3" spans="2:9" x14ac:dyDescent="0.25">
      <c r="B3" s="19">
        <f>'Informations générales 1'!C10</f>
        <v>2024</v>
      </c>
    </row>
    <row r="5" spans="2:9" x14ac:dyDescent="0.25">
      <c r="B5" s="11" t="str">
        <f>"DETAIL DES RECETTES "&amp;B3</f>
        <v>DETAIL DES RECETTES 2024</v>
      </c>
    </row>
    <row r="7" spans="2:9" x14ac:dyDescent="0.25">
      <c r="C7" s="71" t="s">
        <v>31</v>
      </c>
      <c r="D7" s="383">
        <f>Recettes[[#Totals],[Montant]]</f>
        <v>0</v>
      </c>
    </row>
    <row r="8" spans="2:9" x14ac:dyDescent="0.25">
      <c r="B8" s="28" t="s">
        <v>88</v>
      </c>
      <c r="C8" s="28" t="s">
        <v>89</v>
      </c>
      <c r="D8" s="380" t="s">
        <v>90</v>
      </c>
      <c r="E8" s="28" t="s">
        <v>91</v>
      </c>
      <c r="F8" s="28" t="s">
        <v>349</v>
      </c>
      <c r="G8" s="28" t="s">
        <v>92</v>
      </c>
    </row>
    <row r="9" spans="2:9" x14ac:dyDescent="0.25">
      <c r="B9" s="8"/>
      <c r="C9" s="8"/>
      <c r="D9" s="381"/>
      <c r="E9" s="243"/>
      <c r="F9" s="243"/>
      <c r="G9" s="181"/>
      <c r="I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0" spans="2:9" x14ac:dyDescent="0.25">
      <c r="B10" s="8"/>
      <c r="C10" s="8"/>
      <c r="D10" s="381"/>
      <c r="E10" s="243"/>
      <c r="F10" s="243"/>
      <c r="G10" s="181"/>
      <c r="I1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1" spans="2:9" x14ac:dyDescent="0.25">
      <c r="B11" s="8"/>
      <c r="C11" s="8"/>
      <c r="D11" s="381"/>
      <c r="E11" s="243"/>
      <c r="F11" s="243"/>
      <c r="G11" s="181"/>
      <c r="I1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2" spans="2:9" x14ac:dyDescent="0.25">
      <c r="B12" s="8"/>
      <c r="C12" s="8"/>
      <c r="D12" s="381"/>
      <c r="E12" s="243"/>
      <c r="F12" s="243"/>
      <c r="G12" s="181"/>
      <c r="I1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3" spans="2:9" x14ac:dyDescent="0.25">
      <c r="B13" s="8"/>
      <c r="C13" s="8"/>
      <c r="D13" s="381"/>
      <c r="E13" s="243"/>
      <c r="F13" s="243"/>
      <c r="G13" s="181"/>
      <c r="I1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4" spans="2:9" x14ac:dyDescent="0.25">
      <c r="B14" s="8"/>
      <c r="C14" s="8"/>
      <c r="D14" s="381"/>
      <c r="E14" s="243"/>
      <c r="F14" s="243"/>
      <c r="G14" s="181"/>
      <c r="I1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5" spans="2:9" x14ac:dyDescent="0.25">
      <c r="B15" s="8"/>
      <c r="C15" s="8"/>
      <c r="D15" s="381"/>
      <c r="E15" s="243"/>
      <c r="F15" s="243"/>
      <c r="G15" s="181"/>
      <c r="I1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6" spans="2:9" x14ac:dyDescent="0.25">
      <c r="B16" s="8"/>
      <c r="C16" s="8"/>
      <c r="D16" s="381"/>
      <c r="E16" s="243"/>
      <c r="F16" s="243"/>
      <c r="G16" s="181"/>
      <c r="I1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7" spans="2:9" x14ac:dyDescent="0.25">
      <c r="B17" s="8"/>
      <c r="C17" s="8"/>
      <c r="D17" s="381"/>
      <c r="E17" s="243"/>
      <c r="F17" s="243"/>
      <c r="G17" s="181"/>
      <c r="I1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8" spans="2:9" x14ac:dyDescent="0.25">
      <c r="B18" s="8"/>
      <c r="C18" s="8"/>
      <c r="D18" s="381"/>
      <c r="E18" s="243"/>
      <c r="F18" s="243"/>
      <c r="G18" s="181"/>
      <c r="I1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9" spans="2:9" x14ac:dyDescent="0.25">
      <c r="B19" s="8"/>
      <c r="C19" s="8"/>
      <c r="D19" s="381"/>
      <c r="E19" s="243"/>
      <c r="F19" s="243"/>
      <c r="G19" s="181"/>
      <c r="I1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0" spans="2:9" x14ac:dyDescent="0.25">
      <c r="B20" s="8"/>
      <c r="C20" s="8"/>
      <c r="D20" s="381"/>
      <c r="E20" s="243"/>
      <c r="F20" s="243"/>
      <c r="G20" s="181"/>
      <c r="I2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1" spans="2:9" x14ac:dyDescent="0.25">
      <c r="B21" s="8"/>
      <c r="C21" s="8"/>
      <c r="D21" s="381"/>
      <c r="E21" s="243"/>
      <c r="F21" s="243"/>
      <c r="G21" s="181"/>
      <c r="I2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2" spans="2:9" x14ac:dyDescent="0.25">
      <c r="B22" s="8"/>
      <c r="C22" s="8"/>
      <c r="D22" s="381"/>
      <c r="E22" s="243"/>
      <c r="F22" s="243"/>
      <c r="G22" s="181"/>
      <c r="I2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3" spans="2:9" x14ac:dyDescent="0.25">
      <c r="B23" s="8"/>
      <c r="C23" s="8"/>
      <c r="D23" s="381"/>
      <c r="E23" s="243"/>
      <c r="F23" s="243"/>
      <c r="G23" s="181"/>
      <c r="I2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4" spans="2:9" x14ac:dyDescent="0.25">
      <c r="B24" s="8"/>
      <c r="C24" s="8"/>
      <c r="D24" s="381"/>
      <c r="E24" s="243"/>
      <c r="F24" s="243"/>
      <c r="G24" s="181"/>
      <c r="I2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5" spans="2:9" x14ac:dyDescent="0.25">
      <c r="B25" s="8"/>
      <c r="C25" s="8"/>
      <c r="D25" s="381"/>
      <c r="E25" s="243"/>
      <c r="F25" s="243"/>
      <c r="G25" s="181"/>
      <c r="I2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6" spans="2:9" x14ac:dyDescent="0.25">
      <c r="B26" s="8"/>
      <c r="C26" s="8"/>
      <c r="D26" s="381"/>
      <c r="E26" s="243"/>
      <c r="F26" s="243"/>
      <c r="G26" s="181"/>
      <c r="I2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7" spans="2:9" x14ac:dyDescent="0.25">
      <c r="B27" s="8"/>
      <c r="C27" s="8"/>
      <c r="D27" s="381"/>
      <c r="E27" s="243"/>
      <c r="F27" s="243"/>
      <c r="G27" s="181"/>
      <c r="I2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8" spans="2:9" x14ac:dyDescent="0.25">
      <c r="B28" s="8"/>
      <c r="C28" s="8"/>
      <c r="D28" s="381"/>
      <c r="E28" s="243"/>
      <c r="F28" s="243"/>
      <c r="G28" s="181"/>
      <c r="I2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29" spans="2:9" x14ac:dyDescent="0.25">
      <c r="B29" s="8"/>
      <c r="C29" s="8"/>
      <c r="D29" s="381"/>
      <c r="E29" s="243"/>
      <c r="F29" s="243"/>
      <c r="G29" s="181"/>
      <c r="I2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0" spans="2:9" x14ac:dyDescent="0.25">
      <c r="B30" s="8"/>
      <c r="C30" s="8"/>
      <c r="D30" s="381"/>
      <c r="E30" s="243"/>
      <c r="F30" s="243"/>
      <c r="G30" s="181"/>
      <c r="I3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1" spans="2:9" x14ac:dyDescent="0.25">
      <c r="B31" s="8"/>
      <c r="C31" s="8"/>
      <c r="D31" s="381"/>
      <c r="E31" s="243"/>
      <c r="F31" s="243"/>
      <c r="G31" s="181"/>
      <c r="I3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2" spans="2:9" x14ac:dyDescent="0.25">
      <c r="B32" s="8"/>
      <c r="C32" s="8"/>
      <c r="D32" s="381"/>
      <c r="E32" s="243"/>
      <c r="F32" s="243"/>
      <c r="G32" s="181"/>
      <c r="I3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3" spans="2:9" x14ac:dyDescent="0.25">
      <c r="B33" s="8"/>
      <c r="C33" s="8"/>
      <c r="D33" s="381"/>
      <c r="E33" s="243"/>
      <c r="F33" s="243"/>
      <c r="G33" s="181"/>
      <c r="I3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4" spans="2:9" x14ac:dyDescent="0.25">
      <c r="B34" s="8"/>
      <c r="C34" s="8"/>
      <c r="D34" s="381"/>
      <c r="E34" s="243"/>
      <c r="F34" s="243"/>
      <c r="G34" s="181"/>
      <c r="I3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5" spans="2:9" x14ac:dyDescent="0.25">
      <c r="B35" s="8"/>
      <c r="C35" s="8"/>
      <c r="D35" s="381"/>
      <c r="E35" s="243"/>
      <c r="F35" s="243"/>
      <c r="G35" s="181"/>
      <c r="I3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6" spans="2:9" x14ac:dyDescent="0.25">
      <c r="B36" s="8"/>
      <c r="C36" s="8"/>
      <c r="D36" s="381"/>
      <c r="E36" s="243"/>
      <c r="F36" s="243"/>
      <c r="G36" s="181"/>
      <c r="I3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7" spans="2:9" x14ac:dyDescent="0.25">
      <c r="B37" s="8"/>
      <c r="C37" s="8"/>
      <c r="D37" s="381"/>
      <c r="E37" s="243"/>
      <c r="F37" s="243"/>
      <c r="G37" s="181"/>
      <c r="I3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8" spans="2:9" x14ac:dyDescent="0.25">
      <c r="B38" s="8"/>
      <c r="C38" s="8"/>
      <c r="D38" s="381"/>
      <c r="E38" s="243"/>
      <c r="F38" s="243"/>
      <c r="G38" s="181"/>
      <c r="I3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39" spans="2:9" x14ac:dyDescent="0.25">
      <c r="B39" s="8"/>
      <c r="C39" s="8"/>
      <c r="D39" s="381"/>
      <c r="E39" s="243"/>
      <c r="F39" s="243"/>
      <c r="G39" s="181"/>
      <c r="I3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0" spans="2:9" x14ac:dyDescent="0.25">
      <c r="B40" s="8"/>
      <c r="C40" s="8"/>
      <c r="D40" s="381"/>
      <c r="E40" s="243"/>
      <c r="F40" s="243"/>
      <c r="G40" s="181"/>
      <c r="I4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1" spans="2:9" x14ac:dyDescent="0.25">
      <c r="B41" s="8"/>
      <c r="C41" s="8"/>
      <c r="D41" s="381"/>
      <c r="E41" s="243"/>
      <c r="F41" s="243"/>
      <c r="G41" s="181"/>
      <c r="I4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2" spans="2:9" x14ac:dyDescent="0.25">
      <c r="B42" s="8"/>
      <c r="C42" s="8"/>
      <c r="D42" s="381"/>
      <c r="E42" s="243"/>
      <c r="F42" s="243"/>
      <c r="G42" s="181"/>
      <c r="I4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3" spans="2:9" x14ac:dyDescent="0.25">
      <c r="B43" s="8"/>
      <c r="C43" s="8"/>
      <c r="D43" s="381"/>
      <c r="E43" s="243"/>
      <c r="F43" s="243"/>
      <c r="G43" s="181"/>
      <c r="I4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4" spans="2:9" x14ac:dyDescent="0.25">
      <c r="B44" s="8"/>
      <c r="C44" s="8"/>
      <c r="D44" s="381"/>
      <c r="E44" s="243"/>
      <c r="F44" s="243"/>
      <c r="G44" s="181"/>
      <c r="I4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5" spans="2:9" x14ac:dyDescent="0.25">
      <c r="B45" s="8"/>
      <c r="C45" s="8"/>
      <c r="D45" s="381"/>
      <c r="E45" s="243"/>
      <c r="F45" s="243"/>
      <c r="G45" s="181"/>
      <c r="I4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6" spans="2:9" x14ac:dyDescent="0.25">
      <c r="B46" s="8"/>
      <c r="C46" s="8"/>
      <c r="D46" s="381"/>
      <c r="E46" s="243"/>
      <c r="F46" s="243"/>
      <c r="G46" s="181"/>
      <c r="I4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7" spans="2:9" x14ac:dyDescent="0.25">
      <c r="B47" s="8"/>
      <c r="C47" s="8"/>
      <c r="D47" s="381"/>
      <c r="E47" s="243"/>
      <c r="F47" s="243"/>
      <c r="G47" s="181"/>
      <c r="I4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8" spans="2:9" x14ac:dyDescent="0.25">
      <c r="B48" s="8"/>
      <c r="C48" s="8"/>
      <c r="D48" s="381"/>
      <c r="E48" s="243"/>
      <c r="F48" s="243"/>
      <c r="G48" s="181"/>
      <c r="I4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49" spans="2:9" x14ac:dyDescent="0.25">
      <c r="B49" s="8"/>
      <c r="C49" s="8"/>
      <c r="D49" s="381"/>
      <c r="E49" s="243"/>
      <c r="F49" s="243"/>
      <c r="G49" s="181"/>
      <c r="I4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0" spans="2:9" x14ac:dyDescent="0.25">
      <c r="B50" s="8"/>
      <c r="C50" s="8"/>
      <c r="D50" s="381"/>
      <c r="E50" s="243"/>
      <c r="F50" s="243"/>
      <c r="G50" s="181"/>
      <c r="I5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1" spans="2:9" x14ac:dyDescent="0.25">
      <c r="B51" s="8"/>
      <c r="C51" s="8"/>
      <c r="D51" s="381"/>
      <c r="E51" s="243"/>
      <c r="F51" s="243"/>
      <c r="G51" s="181"/>
      <c r="I5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2" spans="2:9" x14ac:dyDescent="0.25">
      <c r="B52" s="8"/>
      <c r="C52" s="8"/>
      <c r="D52" s="381"/>
      <c r="E52" s="243"/>
      <c r="F52" s="243"/>
      <c r="G52" s="181"/>
      <c r="I5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3" spans="2:9" x14ac:dyDescent="0.25">
      <c r="B53" s="8"/>
      <c r="C53" s="8"/>
      <c r="D53" s="381"/>
      <c r="E53" s="243"/>
      <c r="F53" s="243"/>
      <c r="G53" s="181"/>
      <c r="I5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4" spans="2:9" x14ac:dyDescent="0.25">
      <c r="B54" s="8"/>
      <c r="C54" s="8"/>
      <c r="D54" s="381"/>
      <c r="E54" s="243"/>
      <c r="F54" s="243"/>
      <c r="G54" s="181"/>
      <c r="I5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5" spans="2:9" x14ac:dyDescent="0.25">
      <c r="B55" s="8"/>
      <c r="C55" s="8"/>
      <c r="D55" s="381"/>
      <c r="E55" s="243"/>
      <c r="F55" s="243"/>
      <c r="G55" s="181"/>
      <c r="I5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6" spans="2:9" x14ac:dyDescent="0.25">
      <c r="B56" s="8"/>
      <c r="C56" s="8"/>
      <c r="D56" s="381"/>
      <c r="E56" s="243"/>
      <c r="F56" s="243"/>
      <c r="G56" s="181"/>
      <c r="I5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7" spans="2:9" x14ac:dyDescent="0.25">
      <c r="B57" s="8"/>
      <c r="C57" s="8"/>
      <c r="D57" s="381"/>
      <c r="E57" s="243"/>
      <c r="F57" s="243"/>
      <c r="G57" s="181"/>
      <c r="I5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8" spans="2:9" x14ac:dyDescent="0.25">
      <c r="B58" s="8"/>
      <c r="C58" s="8"/>
      <c r="D58" s="381"/>
      <c r="E58" s="243"/>
      <c r="F58" s="243"/>
      <c r="G58" s="181"/>
      <c r="I5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59" spans="2:9" x14ac:dyDescent="0.25">
      <c r="B59" s="8"/>
      <c r="C59" s="8"/>
      <c r="D59" s="381"/>
      <c r="E59" s="243"/>
      <c r="F59" s="243"/>
      <c r="G59" s="181"/>
      <c r="I5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0" spans="2:9" x14ac:dyDescent="0.25">
      <c r="B60" s="8"/>
      <c r="C60" s="8"/>
      <c r="D60" s="381"/>
      <c r="E60" s="243"/>
      <c r="F60" s="243"/>
      <c r="G60" s="181"/>
      <c r="I6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1" spans="2:9" x14ac:dyDescent="0.25">
      <c r="B61" s="8"/>
      <c r="C61" s="8"/>
      <c r="D61" s="381"/>
      <c r="E61" s="243"/>
      <c r="F61" s="243"/>
      <c r="G61" s="181"/>
      <c r="I6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2" spans="2:9" x14ac:dyDescent="0.25">
      <c r="B62" s="8"/>
      <c r="C62" s="8"/>
      <c r="D62" s="381"/>
      <c r="E62" s="243"/>
      <c r="F62" s="243"/>
      <c r="G62" s="181"/>
      <c r="I6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3" spans="2:9" x14ac:dyDescent="0.25">
      <c r="B63" s="8"/>
      <c r="C63" s="8"/>
      <c r="D63" s="381"/>
      <c r="E63" s="243"/>
      <c r="F63" s="243"/>
      <c r="G63" s="181"/>
      <c r="I6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4" spans="2:9" x14ac:dyDescent="0.25">
      <c r="B64" s="8"/>
      <c r="C64" s="8"/>
      <c r="D64" s="381"/>
      <c r="E64" s="243"/>
      <c r="F64" s="243"/>
      <c r="G64" s="181"/>
      <c r="I6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5" spans="2:9" x14ac:dyDescent="0.25">
      <c r="B65" s="8"/>
      <c r="C65" s="8"/>
      <c r="D65" s="381"/>
      <c r="E65" s="243"/>
      <c r="F65" s="243"/>
      <c r="G65" s="181"/>
      <c r="I6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6" spans="2:9" x14ac:dyDescent="0.25">
      <c r="B66" s="8"/>
      <c r="C66" s="8"/>
      <c r="D66" s="381"/>
      <c r="E66" s="243"/>
      <c r="F66" s="243"/>
      <c r="G66" s="181"/>
      <c r="I6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7" spans="2:9" x14ac:dyDescent="0.25">
      <c r="B67" s="8"/>
      <c r="C67" s="8"/>
      <c r="D67" s="381"/>
      <c r="E67" s="243"/>
      <c r="F67" s="243"/>
      <c r="G67" s="181"/>
      <c r="I6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8" spans="2:9" x14ac:dyDescent="0.25">
      <c r="B68" s="8"/>
      <c r="C68" s="8"/>
      <c r="D68" s="381"/>
      <c r="E68" s="243"/>
      <c r="F68" s="243"/>
      <c r="G68" s="181"/>
      <c r="I6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69" spans="2:9" x14ac:dyDescent="0.25">
      <c r="B69" s="8"/>
      <c r="C69" s="8"/>
      <c r="D69" s="381"/>
      <c r="E69" s="243"/>
      <c r="F69" s="243"/>
      <c r="G69" s="181"/>
      <c r="I6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0" spans="2:9" x14ac:dyDescent="0.25">
      <c r="B70" s="8"/>
      <c r="C70" s="8"/>
      <c r="D70" s="381"/>
      <c r="E70" s="243"/>
      <c r="F70" s="243"/>
      <c r="G70" s="181"/>
      <c r="I7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1" spans="2:9" x14ac:dyDescent="0.25">
      <c r="B71" s="8"/>
      <c r="C71" s="8"/>
      <c r="D71" s="381"/>
      <c r="E71" s="243"/>
      <c r="F71" s="243"/>
      <c r="G71" s="181"/>
      <c r="I7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2" spans="2:9" x14ac:dyDescent="0.25">
      <c r="B72" s="8"/>
      <c r="C72" s="8"/>
      <c r="D72" s="381"/>
      <c r="E72" s="243"/>
      <c r="F72" s="243"/>
      <c r="G72" s="181"/>
      <c r="I7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3" spans="2:9" x14ac:dyDescent="0.25">
      <c r="B73" s="8"/>
      <c r="C73" s="8"/>
      <c r="D73" s="381"/>
      <c r="E73" s="243"/>
      <c r="F73" s="243"/>
      <c r="G73" s="181"/>
      <c r="I7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4" spans="2:9" x14ac:dyDescent="0.25">
      <c r="B74" s="8"/>
      <c r="C74" s="8"/>
      <c r="D74" s="381"/>
      <c r="E74" s="243"/>
      <c r="F74" s="243"/>
      <c r="G74" s="181"/>
      <c r="I7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5" spans="2:9" x14ac:dyDescent="0.25">
      <c r="B75" s="8"/>
      <c r="C75" s="8"/>
      <c r="D75" s="381"/>
      <c r="E75" s="243"/>
      <c r="F75" s="243"/>
      <c r="G75" s="181"/>
      <c r="I7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6" spans="2:9" x14ac:dyDescent="0.25">
      <c r="B76" s="8"/>
      <c r="C76" s="8"/>
      <c r="D76" s="381"/>
      <c r="E76" s="243"/>
      <c r="F76" s="243"/>
      <c r="G76" s="181"/>
      <c r="I7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7" spans="2:9" x14ac:dyDescent="0.25">
      <c r="B77" s="8"/>
      <c r="C77" s="8"/>
      <c r="D77" s="381"/>
      <c r="E77" s="243"/>
      <c r="F77" s="243"/>
      <c r="G77" s="181"/>
      <c r="I7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8" spans="2:9" x14ac:dyDescent="0.25">
      <c r="B78" s="8"/>
      <c r="C78" s="8"/>
      <c r="D78" s="381"/>
      <c r="E78" s="243"/>
      <c r="F78" s="243"/>
      <c r="G78" s="181"/>
      <c r="I7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79" spans="2:9" x14ac:dyDescent="0.25">
      <c r="B79" s="8"/>
      <c r="C79" s="8"/>
      <c r="D79" s="381"/>
      <c r="E79" s="243"/>
      <c r="F79" s="243"/>
      <c r="G79" s="181"/>
      <c r="I7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0" spans="2:9" x14ac:dyDescent="0.25">
      <c r="B80" s="8"/>
      <c r="C80" s="8"/>
      <c r="D80" s="381"/>
      <c r="E80" s="243"/>
      <c r="F80" s="243"/>
      <c r="G80" s="181"/>
      <c r="I8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1" spans="2:9" x14ac:dyDescent="0.25">
      <c r="B81" s="8"/>
      <c r="C81" s="8"/>
      <c r="D81" s="381"/>
      <c r="E81" s="243"/>
      <c r="F81" s="243"/>
      <c r="G81" s="181"/>
      <c r="I8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2" spans="2:9" x14ac:dyDescent="0.25">
      <c r="B82" s="8"/>
      <c r="C82" s="8"/>
      <c r="D82" s="381"/>
      <c r="E82" s="243"/>
      <c r="F82" s="243"/>
      <c r="G82" s="181"/>
      <c r="I8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3" spans="2:9" x14ac:dyDescent="0.25">
      <c r="B83" s="8"/>
      <c r="C83" s="8"/>
      <c r="D83" s="381"/>
      <c r="E83" s="243"/>
      <c r="F83" s="243"/>
      <c r="G83" s="181"/>
      <c r="I8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4" spans="2:9" x14ac:dyDescent="0.25">
      <c r="B84" s="8"/>
      <c r="C84" s="8"/>
      <c r="D84" s="381"/>
      <c r="E84" s="243"/>
      <c r="F84" s="243"/>
      <c r="G84" s="181"/>
      <c r="I8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5" spans="2:9" x14ac:dyDescent="0.25">
      <c r="B85" s="8"/>
      <c r="C85" s="8"/>
      <c r="D85" s="381"/>
      <c r="E85" s="243"/>
      <c r="F85" s="243"/>
      <c r="G85" s="181"/>
      <c r="I8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6" spans="2:9" x14ac:dyDescent="0.25">
      <c r="B86" s="8"/>
      <c r="C86" s="8"/>
      <c r="D86" s="381"/>
      <c r="E86" s="243"/>
      <c r="F86" s="243"/>
      <c r="G86" s="181"/>
      <c r="I8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7" spans="2:9" x14ac:dyDescent="0.25">
      <c r="B87" s="8"/>
      <c r="C87" s="8"/>
      <c r="D87" s="381"/>
      <c r="E87" s="243"/>
      <c r="F87" s="243"/>
      <c r="G87" s="181"/>
      <c r="I8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8" spans="2:9" x14ac:dyDescent="0.25">
      <c r="B88" s="8"/>
      <c r="C88" s="8"/>
      <c r="D88" s="381"/>
      <c r="E88" s="243"/>
      <c r="F88" s="243"/>
      <c r="G88" s="181"/>
      <c r="I8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89" spans="2:9" x14ac:dyDescent="0.25">
      <c r="B89" s="8"/>
      <c r="C89" s="8"/>
      <c r="D89" s="381"/>
      <c r="E89" s="243"/>
      <c r="F89" s="243"/>
      <c r="G89" s="181"/>
      <c r="I8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0" spans="2:9" x14ac:dyDescent="0.25">
      <c r="B90" s="8"/>
      <c r="C90" s="8"/>
      <c r="D90" s="381"/>
      <c r="E90" s="243"/>
      <c r="F90" s="243"/>
      <c r="G90" s="181"/>
      <c r="I9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1" spans="2:9" x14ac:dyDescent="0.25">
      <c r="B91" s="8"/>
      <c r="C91" s="8"/>
      <c r="D91" s="381"/>
      <c r="E91" s="243"/>
      <c r="F91" s="243"/>
      <c r="G91" s="181"/>
      <c r="I91"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2" spans="2:9" x14ac:dyDescent="0.25">
      <c r="B92" s="8"/>
      <c r="C92" s="8"/>
      <c r="D92" s="381"/>
      <c r="E92" s="243"/>
      <c r="F92" s="243"/>
      <c r="G92" s="181"/>
      <c r="I92"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3" spans="2:9" x14ac:dyDescent="0.25">
      <c r="B93" s="8"/>
      <c r="C93" s="8"/>
      <c r="D93" s="381"/>
      <c r="E93" s="243"/>
      <c r="F93" s="243"/>
      <c r="G93" s="181"/>
      <c r="I93"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4" spans="2:9" x14ac:dyDescent="0.25">
      <c r="B94" s="8"/>
      <c r="C94" s="8"/>
      <c r="D94" s="381"/>
      <c r="E94" s="243"/>
      <c r="F94" s="243"/>
      <c r="G94" s="181"/>
      <c r="I94"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5" spans="2:9" x14ac:dyDescent="0.25">
      <c r="B95" s="8"/>
      <c r="C95" s="8"/>
      <c r="D95" s="381"/>
      <c r="E95" s="243"/>
      <c r="F95" s="243"/>
      <c r="G95" s="181"/>
      <c r="I95"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6" spans="2:9" x14ac:dyDescent="0.25">
      <c r="B96" s="8"/>
      <c r="C96" s="8"/>
      <c r="D96" s="381"/>
      <c r="E96" s="243"/>
      <c r="F96" s="243"/>
      <c r="G96" s="181"/>
      <c r="I96"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7" spans="2:9" x14ac:dyDescent="0.25">
      <c r="B97" s="8"/>
      <c r="C97" s="8"/>
      <c r="D97" s="381"/>
      <c r="E97" s="243"/>
      <c r="F97" s="243"/>
      <c r="G97" s="181"/>
      <c r="I97"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8" spans="2:9" x14ac:dyDescent="0.25">
      <c r="B98" s="8"/>
      <c r="C98" s="8"/>
      <c r="D98" s="381"/>
      <c r="E98" s="243"/>
      <c r="F98" s="243"/>
      <c r="G98" s="181"/>
      <c r="I98"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99" spans="2:9" x14ac:dyDescent="0.25">
      <c r="B99" s="8"/>
      <c r="C99" s="8"/>
      <c r="D99" s="381"/>
      <c r="E99" s="243"/>
      <c r="F99" s="243"/>
      <c r="G99" s="181"/>
      <c r="I99"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00" spans="2:9" x14ac:dyDescent="0.25">
      <c r="B100" s="8"/>
      <c r="C100" s="8"/>
      <c r="D100" s="381"/>
      <c r="E100" s="243"/>
      <c r="F100" s="243"/>
      <c r="G100" s="181"/>
      <c r="I100" s="72" t="str">
        <f>IF(COUNTA(Recettes[[#This Row],[Compte]:[Montant]])=0,"",IF(Recettes[[#This Row],[Compte]]="","&lt;-- Veuillez renseigner le " &amp; UPPER(Recettes[[#Headers],[Compte]]),IF(Recettes[[#This Row],[Intitulé de compte]]="","&lt;-- Veuillez renseigner l'"&amp;UPPER(Recettes[[#Headers],[Intitulé de compte]]),IF(Recettes[[#This Row],[Montant]]="","&lt;-- Veuillez renseigner le " &amp;UPPER(Recettes[[#Headers],[Montant]]),IF(Recettes[[#This Row],[Allocation]]="","&lt;--ATTENTION: Sans allocation les frais ne seront pas prisen en compte","")))))</f>
        <v/>
      </c>
    </row>
    <row r="101" spans="2:9" x14ac:dyDescent="0.25">
      <c r="B101" s="7" t="s">
        <v>31</v>
      </c>
      <c r="C101" s="7"/>
      <c r="D101" s="384">
        <f>SUBTOTAL(109,Recettes[Montant])</f>
        <v>0</v>
      </c>
      <c r="E101" s="7"/>
      <c r="F101" s="7"/>
      <c r="G101" s="7">
        <f>SUBTOTAL(103,Recettes[Commentaire])</f>
        <v>0</v>
      </c>
    </row>
  </sheetData>
  <sheetProtection algorithmName="SHA-512" hashValue="Bdy02neSewIKvkeFhj7l3AVmbwSIC7YHdVrlJNaO4JtTePe01bEEcDV5vI0JDlNAst4OY1kencwq+R9iLtE10A==" saltValue="e1UKbEi5HgLUI0jLdiKRlA==" spinCount="100000" sheet="1" selectLockedCells="1" autoFilter="0"/>
  <dataValidations count="1">
    <dataValidation type="decimal" allowBlank="1" showInputMessage="1" showErrorMessage="1" sqref="D9:D100" xr:uid="{3CBCD258-5009-441E-A23E-2671E882017A}">
      <formula1>-10000000</formula1>
      <formula2>10000000</formula2>
    </dataValidation>
  </dataValidations>
  <pageMargins left="0.7" right="0.7" top="0.75" bottom="0.75" header="0.3" footer="0.3"/>
  <pageSetup paperSize="9" scale="10"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'Variable et Dropdowns'!$K$2:$K$7</xm:f>
          </x14:formula1>
          <xm:sqref>F9:F100</xm:sqref>
        </x14:dataValidation>
        <x14:dataValidation type="list" allowBlank="1" showInputMessage="1" showErrorMessage="1" xr:uid="{00000000-0002-0000-0800-000000000000}">
          <x14:formula1>
            <xm:f>'Variable et Dropdowns'!$M$2:$M$11</xm:f>
          </x14:formula1>
          <xm:sqref>E9:E100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pageSetUpPr fitToPage="1"/>
  </sheetPr>
  <dimension ref="A1:I124"/>
  <sheetViews>
    <sheetView topLeftCell="A25" zoomScaleNormal="100" zoomScaleSheetLayoutView="100" workbookViewId="0">
      <selection activeCell="C115" sqref="C115:D115"/>
    </sheetView>
  </sheetViews>
  <sheetFormatPr defaultColWidth="9.140625" defaultRowHeight="15" x14ac:dyDescent="0.25"/>
  <cols>
    <col min="1" max="1" width="5.140625" style="2" bestFit="1" customWidth="1"/>
    <col min="2" max="2" width="61.7109375" style="2" customWidth="1"/>
    <col min="3" max="3" width="53.28515625" style="2" bestFit="1" customWidth="1"/>
    <col min="4" max="4" width="46.5703125" style="2" customWidth="1"/>
    <col min="5" max="5" width="37" style="2" bestFit="1" customWidth="1"/>
    <col min="6" max="6" width="27.42578125" style="2" hidden="1" customWidth="1"/>
    <col min="7" max="8" width="10.7109375" style="2" bestFit="1" customWidth="1"/>
    <col min="9" max="9" width="9.7109375" style="2" bestFit="1" customWidth="1"/>
    <col min="10" max="16384" width="9.140625" style="2"/>
  </cols>
  <sheetData>
    <row r="1" spans="2:5" ht="15.75" x14ac:dyDescent="0.25">
      <c r="B1" s="565" t="str">
        <f>'Informations générales 1'!B7</f>
        <v>DECOMPTE ANNUEL</v>
      </c>
      <c r="C1" s="73"/>
      <c r="D1" s="73"/>
      <c r="E1" s="73"/>
    </row>
    <row r="2" spans="2:5" ht="15.75" x14ac:dyDescent="0.25">
      <c r="B2" s="565" t="str">
        <f>'Informations générales 1'!C20&amp;" - "&amp;'Informations générales 1'!C24</f>
        <v>Nom Gestionnaire - Nom SEA</v>
      </c>
      <c r="C2" s="676"/>
      <c r="D2" s="73"/>
      <c r="E2" s="73"/>
    </row>
    <row r="3" spans="2:5" ht="15.75" x14ac:dyDescent="0.25">
      <c r="B3" s="566">
        <f>'Informations générales 1'!C10</f>
        <v>2024</v>
      </c>
      <c r="C3" s="73"/>
      <c r="D3" s="73"/>
      <c r="E3" s="73"/>
    </row>
    <row r="4" spans="2:5" ht="15.75" x14ac:dyDescent="0.25">
      <c r="B4" s="73"/>
      <c r="C4" s="73"/>
      <c r="D4" s="73"/>
      <c r="E4" s="73"/>
    </row>
    <row r="5" spans="2:5" ht="15.75" x14ac:dyDescent="0.25">
      <c r="B5" s="565" t="s">
        <v>402</v>
      </c>
      <c r="C5" s="73"/>
      <c r="D5" s="73"/>
      <c r="E5" s="73"/>
    </row>
    <row r="6" spans="2:5" ht="16.5" thickBot="1" x14ac:dyDescent="0.3">
      <c r="B6" s="73"/>
      <c r="C6" s="73"/>
      <c r="D6" s="73"/>
      <c r="E6" s="73"/>
    </row>
    <row r="7" spans="2:5" ht="16.5" thickBot="1" x14ac:dyDescent="0.3">
      <c r="B7" s="567"/>
      <c r="C7" s="568" t="s">
        <v>471</v>
      </c>
      <c r="D7" s="568" t="s">
        <v>472</v>
      </c>
      <c r="E7" s="73"/>
    </row>
    <row r="8" spans="2:5" ht="15.75" x14ac:dyDescent="0.25">
      <c r="B8" s="569"/>
      <c r="C8" s="569"/>
      <c r="D8" s="671"/>
      <c r="E8" s="73"/>
    </row>
    <row r="9" spans="2:5" ht="15.75" x14ac:dyDescent="0.25">
      <c r="B9" s="569"/>
      <c r="C9" s="569"/>
      <c r="D9" s="570"/>
      <c r="E9" s="73"/>
    </row>
    <row r="10" spans="2:5" ht="15.75" x14ac:dyDescent="0.25">
      <c r="B10" s="571"/>
      <c r="C10" s="572"/>
      <c r="D10" s="570"/>
      <c r="E10" s="73"/>
    </row>
    <row r="11" spans="2:5" ht="15.75" x14ac:dyDescent="0.25">
      <c r="B11" s="573" t="s">
        <v>711</v>
      </c>
      <c r="C11" s="574">
        <f>REVEX!F23</f>
        <v>0</v>
      </c>
      <c r="D11" s="570"/>
      <c r="E11" s="73"/>
    </row>
    <row r="12" spans="2:5" ht="15.75" x14ac:dyDescent="0.25">
      <c r="B12" s="575" t="s">
        <v>721</v>
      </c>
      <c r="C12" s="576">
        <f>REVEX!F26</f>
        <v>0</v>
      </c>
      <c r="D12" s="570"/>
      <c r="E12" s="73"/>
    </row>
    <row r="13" spans="2:5" ht="16.5" thickBot="1" x14ac:dyDescent="0.3">
      <c r="B13" s="577" t="s">
        <v>722</v>
      </c>
      <c r="C13" s="578"/>
      <c r="D13" s="672">
        <f>IF(C11=0,0,C12/C11)</f>
        <v>0</v>
      </c>
      <c r="E13" s="73"/>
    </row>
    <row r="14" spans="2:5" ht="16.5" thickBot="1" x14ac:dyDescent="0.3">
      <c r="B14" s="579" t="str">
        <f>"Heures de présence réelles enfants / " &amp;TEXT(delta,"##%")</f>
        <v>Heures de présence réelles enfants / 75%</v>
      </c>
      <c r="C14" s="580">
        <f>REVEX!F29</f>
        <v>0</v>
      </c>
      <c r="D14" s="581"/>
      <c r="E14" s="73"/>
    </row>
    <row r="15" spans="2:5" ht="15.75" x14ac:dyDescent="0.25">
      <c r="B15" s="674" t="s">
        <v>423</v>
      </c>
      <c r="C15" s="675">
        <f>REVEX!F24</f>
        <v>0</v>
      </c>
      <c r="D15" s="671"/>
      <c r="E15" s="73"/>
    </row>
    <row r="16" spans="2:5" ht="15.75" x14ac:dyDescent="0.25">
      <c r="B16" s="575" t="s">
        <v>482</v>
      </c>
      <c r="C16" s="576">
        <f>REVEX!F27</f>
        <v>0</v>
      </c>
      <c r="D16" s="570"/>
      <c r="E16" s="73"/>
    </row>
    <row r="17" spans="2:9" ht="15.75" x14ac:dyDescent="0.25">
      <c r="B17" s="669" t="str">
        <f>"Heures d'encadrement réelles enfants / " &amp;TEXT(delta,"##%")</f>
        <v>Heures d'encadrement réelles enfants / 75%</v>
      </c>
      <c r="C17" s="670">
        <f>REVEX!F30</f>
        <v>0</v>
      </c>
      <c r="D17" s="570"/>
      <c r="E17" s="73"/>
    </row>
    <row r="18" spans="2:9" ht="15.75" x14ac:dyDescent="0.25">
      <c r="B18" s="669" t="str">
        <f>IF(C18=0,"","Heures inclusives (1,5%)")</f>
        <v/>
      </c>
      <c r="C18" s="670">
        <f>REVEX!F69</f>
        <v>0</v>
      </c>
      <c r="D18" s="570"/>
      <c r="E18" s="73"/>
    </row>
    <row r="19" spans="2:9" ht="16.5" thickBot="1" x14ac:dyDescent="0.3">
      <c r="B19" s="585" t="str">
        <f>IF(C19=0,"","heures EPL")</f>
        <v/>
      </c>
      <c r="C19" s="586">
        <f>REVEX!F70</f>
        <v>0</v>
      </c>
      <c r="D19" s="673"/>
      <c r="E19" s="565"/>
    </row>
    <row r="20" spans="2:9" ht="16.5" thickBot="1" x14ac:dyDescent="0.3">
      <c r="B20" s="579" t="s">
        <v>712</v>
      </c>
      <c r="C20" s="582">
        <f>REVEX!F71</f>
        <v>0</v>
      </c>
      <c r="D20" s="581"/>
      <c r="E20" s="73"/>
    </row>
    <row r="21" spans="2:9" ht="15.75" x14ac:dyDescent="0.25">
      <c r="B21" s="583" t="s">
        <v>475</v>
      </c>
      <c r="C21" s="584">
        <f>REVEX!F72</f>
        <v>0</v>
      </c>
      <c r="D21" s="671"/>
      <c r="E21" s="73"/>
    </row>
    <row r="22" spans="2:9" ht="16.5" thickBot="1" x14ac:dyDescent="0.3">
      <c r="B22" s="585" t="str">
        <f>IF(C22=0,"","Dépassement en heures d'encadrement")</f>
        <v/>
      </c>
      <c r="C22" s="586">
        <f>REVEX!F73</f>
        <v>0</v>
      </c>
      <c r="D22" s="673"/>
      <c r="E22" s="73"/>
    </row>
    <row r="23" spans="2:9" ht="16.5" thickBot="1" x14ac:dyDescent="0.3">
      <c r="B23" s="73"/>
      <c r="C23" s="73"/>
      <c r="D23" s="73"/>
      <c r="E23" s="73"/>
    </row>
    <row r="24" spans="2:9" ht="45.75" thickBot="1" x14ac:dyDescent="0.3">
      <c r="B24" s="73"/>
      <c r="C24" s="587" t="s">
        <v>477</v>
      </c>
      <c r="D24" s="690" t="s">
        <v>478</v>
      </c>
      <c r="E24" s="587" t="s">
        <v>479</v>
      </c>
      <c r="F24" s="434" t="s">
        <v>598</v>
      </c>
    </row>
    <row r="25" spans="2:9" ht="19.5" thickBot="1" x14ac:dyDescent="0.3">
      <c r="B25" s="680" t="s">
        <v>476</v>
      </c>
      <c r="C25" s="700">
        <f>REVEX!E42+REVEX!F42</f>
        <v>0</v>
      </c>
      <c r="D25" s="691">
        <f>REVEX!F74</f>
        <v>0</v>
      </c>
      <c r="E25" s="654">
        <f>C25-D25</f>
        <v>0</v>
      </c>
      <c r="F25" s="436"/>
    </row>
    <row r="26" spans="2:9" ht="19.5" thickBot="1" x14ac:dyDescent="0.3">
      <c r="B26" s="681" t="s">
        <v>568</v>
      </c>
      <c r="C26" s="701">
        <f>REVEX!C68</f>
        <v>0</v>
      </c>
      <c r="D26" s="692"/>
      <c r="E26" s="655"/>
      <c r="F26" s="437"/>
    </row>
    <row r="27" spans="2:9" ht="19.5" thickBot="1" x14ac:dyDescent="0.3">
      <c r="B27" s="680" t="s">
        <v>483</v>
      </c>
      <c r="C27" s="700">
        <f>C28+C29+C34+C42+C46+C50+C54+C57</f>
        <v>0</v>
      </c>
      <c r="D27" s="691">
        <f>REVEX!C74</f>
        <v>0</v>
      </c>
      <c r="E27" s="654">
        <f>C27-D27</f>
        <v>0</v>
      </c>
      <c r="F27" s="354">
        <f>'TABLEAU FINAL COVID'!C26</f>
        <v>0</v>
      </c>
      <c r="I27" s="378"/>
    </row>
    <row r="28" spans="2:9" s="11" customFormat="1" ht="16.5" thickBot="1" x14ac:dyDescent="0.3">
      <c r="B28" s="682" t="s">
        <v>93</v>
      </c>
      <c r="C28" s="702">
        <f>REVEX!C42+F28</f>
        <v>0</v>
      </c>
      <c r="D28" s="693"/>
      <c r="E28" s="588"/>
      <c r="F28" s="356">
        <f>'TABLEAU FINAL COVID'!C27</f>
        <v>0</v>
      </c>
    </row>
    <row r="29" spans="2:9" s="11" customFormat="1" ht="16.5" thickBot="1" x14ac:dyDescent="0.3">
      <c r="B29" s="682" t="s">
        <v>470</v>
      </c>
      <c r="C29" s="702">
        <f>SUM(C30:C33)</f>
        <v>0</v>
      </c>
      <c r="D29" s="629"/>
      <c r="E29" s="589"/>
      <c r="F29" s="356">
        <f>'TABLEAU FINAL COVID'!C28</f>
        <v>0</v>
      </c>
    </row>
    <row r="30" spans="2:9" ht="15.75" x14ac:dyDescent="0.25">
      <c r="B30" s="683" t="s">
        <v>94</v>
      </c>
      <c r="C30" s="703">
        <f>REVEX!G43+F30</f>
        <v>0</v>
      </c>
      <c r="D30" s="694"/>
      <c r="E30" s="590"/>
      <c r="F30" s="358">
        <f>'TABLEAU FINAL COVID'!C29</f>
        <v>0</v>
      </c>
    </row>
    <row r="31" spans="2:9" ht="15.75" x14ac:dyDescent="0.25">
      <c r="B31" s="684" t="s">
        <v>95</v>
      </c>
      <c r="C31" s="704">
        <f>REVEX!G44+F31</f>
        <v>0</v>
      </c>
      <c r="D31" s="694"/>
      <c r="E31" s="590"/>
      <c r="F31" s="360">
        <f>'TABLEAU FINAL COVID'!C30</f>
        <v>0</v>
      </c>
    </row>
    <row r="32" spans="2:9" ht="15.75" x14ac:dyDescent="0.25">
      <c r="B32" s="684" t="s">
        <v>96</v>
      </c>
      <c r="C32" s="704">
        <f>REVEX!G45+F32</f>
        <v>0</v>
      </c>
      <c r="D32" s="694"/>
      <c r="E32" s="590"/>
      <c r="F32" s="360">
        <f>'TABLEAU FINAL COVID'!C31</f>
        <v>0</v>
      </c>
    </row>
    <row r="33" spans="2:8" ht="16.5" thickBot="1" x14ac:dyDescent="0.3">
      <c r="B33" s="646" t="s">
        <v>97</v>
      </c>
      <c r="C33" s="705">
        <f>REVEX!G46+F33</f>
        <v>0</v>
      </c>
      <c r="D33" s="694"/>
      <c r="E33" s="590"/>
      <c r="F33" s="362">
        <f>'TABLEAU FINAL COVID'!C32</f>
        <v>0</v>
      </c>
    </row>
    <row r="34" spans="2:8" s="11" customFormat="1" ht="16.5" thickBot="1" x14ac:dyDescent="0.3">
      <c r="B34" s="682" t="s">
        <v>484</v>
      </c>
      <c r="C34" s="702">
        <f>SUM(C35:C41)</f>
        <v>0</v>
      </c>
      <c r="D34" s="629"/>
      <c r="E34" s="589"/>
      <c r="F34" s="356">
        <f>'TABLEAU FINAL COVID'!C33</f>
        <v>0</v>
      </c>
    </row>
    <row r="35" spans="2:8" ht="15.75" x14ac:dyDescent="0.25">
      <c r="B35" s="683" t="s">
        <v>111</v>
      </c>
      <c r="C35" s="703">
        <f>REVEX!G47+F35</f>
        <v>0</v>
      </c>
      <c r="D35" s="694"/>
      <c r="E35" s="590"/>
      <c r="F35" s="358">
        <f>'TABLEAU FINAL COVID'!C34</f>
        <v>0</v>
      </c>
    </row>
    <row r="36" spans="2:8" ht="15.75" x14ac:dyDescent="0.25">
      <c r="B36" s="684" t="s">
        <v>98</v>
      </c>
      <c r="C36" s="704">
        <f>REVEX!G48+F36</f>
        <v>0</v>
      </c>
      <c r="D36" s="694"/>
      <c r="E36" s="590"/>
      <c r="F36" s="360">
        <f>'TABLEAU FINAL COVID'!C35</f>
        <v>0</v>
      </c>
    </row>
    <row r="37" spans="2:8" ht="15.75" x14ac:dyDescent="0.25">
      <c r="B37" s="684" t="s">
        <v>99</v>
      </c>
      <c r="C37" s="704">
        <f>REVEX!G49+F37</f>
        <v>0</v>
      </c>
      <c r="D37" s="694"/>
      <c r="E37" s="590"/>
      <c r="F37" s="360">
        <f>'TABLEAU FINAL COVID'!C36</f>
        <v>0</v>
      </c>
    </row>
    <row r="38" spans="2:8" ht="15.75" x14ac:dyDescent="0.25">
      <c r="B38" s="684" t="s">
        <v>100</v>
      </c>
      <c r="C38" s="704">
        <f>REVEX!G50+F38</f>
        <v>0</v>
      </c>
      <c r="D38" s="694"/>
      <c r="E38" s="590"/>
      <c r="F38" s="360">
        <f>'TABLEAU FINAL COVID'!C37</f>
        <v>0</v>
      </c>
    </row>
    <row r="39" spans="2:8" ht="15.75" x14ac:dyDescent="0.25">
      <c r="B39" s="684" t="s">
        <v>101</v>
      </c>
      <c r="C39" s="704">
        <f>REVEX!G51+F39</f>
        <v>0</v>
      </c>
      <c r="D39" s="694"/>
      <c r="E39" s="590"/>
      <c r="F39" s="360">
        <f>'TABLEAU FINAL COVID'!C38</f>
        <v>0</v>
      </c>
    </row>
    <row r="40" spans="2:8" ht="15.75" x14ac:dyDescent="0.25">
      <c r="B40" s="684" t="s">
        <v>102</v>
      </c>
      <c r="C40" s="704">
        <f>REVEX!G52+F40</f>
        <v>0</v>
      </c>
      <c r="D40" s="694"/>
      <c r="E40" s="590"/>
      <c r="F40" s="360">
        <f>'TABLEAU FINAL COVID'!C39</f>
        <v>0</v>
      </c>
    </row>
    <row r="41" spans="2:8" ht="16.5" thickBot="1" x14ac:dyDescent="0.3">
      <c r="B41" s="684" t="s">
        <v>103</v>
      </c>
      <c r="C41" s="704">
        <f>REVEX!G53+F41</f>
        <v>0</v>
      </c>
      <c r="D41" s="694"/>
      <c r="E41" s="590"/>
      <c r="F41" s="360">
        <f>'TABLEAU FINAL COVID'!C40</f>
        <v>0</v>
      </c>
    </row>
    <row r="42" spans="2:8" ht="16.5" thickBot="1" x14ac:dyDescent="0.3">
      <c r="B42" s="682" t="s">
        <v>672</v>
      </c>
      <c r="C42" s="702">
        <f>SUM(C43:C45)</f>
        <v>0</v>
      </c>
      <c r="D42" s="629"/>
      <c r="E42" s="589"/>
      <c r="F42" s="497"/>
    </row>
    <row r="43" spans="2:8" ht="15.75" x14ac:dyDescent="0.25">
      <c r="B43" s="683" t="s">
        <v>638</v>
      </c>
      <c r="C43" s="703">
        <f>REVEX!G54</f>
        <v>0</v>
      </c>
      <c r="D43" s="695"/>
      <c r="E43" s="590"/>
      <c r="F43" s="494"/>
    </row>
    <row r="44" spans="2:8" ht="15.75" x14ac:dyDescent="0.25">
      <c r="B44" s="684" t="s">
        <v>637</v>
      </c>
      <c r="C44" s="704">
        <f>REVEX!G55</f>
        <v>0</v>
      </c>
      <c r="D44" s="695"/>
      <c r="E44" s="590"/>
      <c r="F44" s="495"/>
      <c r="H44" s="496"/>
    </row>
    <row r="45" spans="2:8" ht="16.5" thickBot="1" x14ac:dyDescent="0.3">
      <c r="B45" s="685" t="s">
        <v>395</v>
      </c>
      <c r="C45" s="704">
        <f>-REVEX!C84</f>
        <v>0</v>
      </c>
      <c r="D45" s="695"/>
      <c r="E45" s="590"/>
      <c r="F45" s="495"/>
    </row>
    <row r="46" spans="2:8" s="11" customFormat="1" ht="16.5" thickBot="1" x14ac:dyDescent="0.3">
      <c r="B46" s="682" t="s">
        <v>400</v>
      </c>
      <c r="C46" s="702">
        <f>SUM(C47:C49)</f>
        <v>0</v>
      </c>
      <c r="D46" s="629"/>
      <c r="E46" s="589"/>
      <c r="F46" s="356">
        <f>'TABLEAU FINAL COVID'!C42</f>
        <v>0</v>
      </c>
    </row>
    <row r="47" spans="2:8" ht="15.75" x14ac:dyDescent="0.25">
      <c r="B47" s="683" t="s">
        <v>105</v>
      </c>
      <c r="C47" s="703">
        <f>REVEX!G56+F47</f>
        <v>0</v>
      </c>
      <c r="D47" s="694"/>
      <c r="E47" s="590"/>
      <c r="F47" s="358">
        <f>'TABLEAU FINAL COVID'!C43</f>
        <v>0</v>
      </c>
    </row>
    <row r="48" spans="2:8" ht="15.75" x14ac:dyDescent="0.25">
      <c r="B48" s="684" t="s">
        <v>106</v>
      </c>
      <c r="C48" s="704">
        <f>REVEX!G57+F48</f>
        <v>0</v>
      </c>
      <c r="D48" s="694"/>
      <c r="E48" s="590"/>
      <c r="F48" s="360">
        <f>'TABLEAU FINAL COVID'!C44</f>
        <v>0</v>
      </c>
    </row>
    <row r="49" spans="2:6" ht="16.5" thickBot="1" x14ac:dyDescent="0.3">
      <c r="B49" s="685" t="s">
        <v>395</v>
      </c>
      <c r="C49" s="704">
        <f>-REVEX!C80</f>
        <v>0</v>
      </c>
      <c r="D49" s="694"/>
      <c r="E49" s="590"/>
      <c r="F49" s="360"/>
    </row>
    <row r="50" spans="2:6" s="11" customFormat="1" ht="16.5" thickBot="1" x14ac:dyDescent="0.3">
      <c r="B50" s="682" t="s">
        <v>401</v>
      </c>
      <c r="C50" s="702">
        <f>SUM(C51:C53)</f>
        <v>0</v>
      </c>
      <c r="D50" s="629"/>
      <c r="E50" s="589"/>
      <c r="F50" s="356">
        <f>'TABLEAU FINAL COVID'!C46</f>
        <v>0</v>
      </c>
    </row>
    <row r="51" spans="2:6" ht="15.75" x14ac:dyDescent="0.25">
      <c r="B51" s="683" t="s">
        <v>107</v>
      </c>
      <c r="C51" s="703">
        <f>REVEX!G58+F51</f>
        <v>0</v>
      </c>
      <c r="D51" s="694"/>
      <c r="E51" s="590"/>
      <c r="F51" s="358">
        <f>'TABLEAU FINAL COVID'!C47</f>
        <v>0</v>
      </c>
    </row>
    <row r="52" spans="2:6" ht="15.75" x14ac:dyDescent="0.25">
      <c r="B52" s="684" t="s">
        <v>108</v>
      </c>
      <c r="C52" s="704">
        <f>REVEX!G59+F52</f>
        <v>0</v>
      </c>
      <c r="D52" s="694"/>
      <c r="E52" s="590"/>
      <c r="F52" s="360">
        <f>'TABLEAU FINAL COVID'!C48</f>
        <v>0</v>
      </c>
    </row>
    <row r="53" spans="2:6" ht="16.5" thickBot="1" x14ac:dyDescent="0.3">
      <c r="B53" s="685" t="s">
        <v>395</v>
      </c>
      <c r="C53" s="704">
        <f>-REVEX!C81</f>
        <v>0</v>
      </c>
      <c r="D53" s="694"/>
      <c r="E53" s="590"/>
      <c r="F53" s="360"/>
    </row>
    <row r="54" spans="2:6" s="11" customFormat="1" ht="16.5" thickBot="1" x14ac:dyDescent="0.3">
      <c r="B54" s="682" t="s">
        <v>109</v>
      </c>
      <c r="C54" s="702">
        <f>SUM(C55:C56)</f>
        <v>0</v>
      </c>
      <c r="D54" s="629"/>
      <c r="E54" s="589"/>
      <c r="F54" s="356">
        <f>'TABLEAU FINAL COVID'!C50</f>
        <v>0</v>
      </c>
    </row>
    <row r="55" spans="2:6" s="11" customFormat="1" ht="16.5" thickBot="1" x14ac:dyDescent="0.3">
      <c r="B55" s="683" t="s">
        <v>109</v>
      </c>
      <c r="C55" s="703">
        <f>REVEX!G60+F55</f>
        <v>0</v>
      </c>
      <c r="D55" s="694"/>
      <c r="E55" s="590"/>
      <c r="F55" s="435">
        <f>'TABLEAU FINAL COVID'!C51</f>
        <v>0</v>
      </c>
    </row>
    <row r="56" spans="2:6" s="11" customFormat="1" ht="16.5" thickBot="1" x14ac:dyDescent="0.3">
      <c r="B56" s="685" t="s">
        <v>395</v>
      </c>
      <c r="C56" s="704">
        <f>-REVEX!C82</f>
        <v>0</v>
      </c>
      <c r="D56" s="694"/>
      <c r="E56" s="590"/>
      <c r="F56" s="438"/>
    </row>
    <row r="57" spans="2:6" s="11" customFormat="1" ht="16.5" thickBot="1" x14ac:dyDescent="0.3">
      <c r="B57" s="682" t="s">
        <v>673</v>
      </c>
      <c r="C57" s="702">
        <f>SUM(C58:C60)</f>
        <v>0</v>
      </c>
      <c r="D57" s="629"/>
      <c r="E57" s="589"/>
      <c r="F57" s="440"/>
    </row>
    <row r="58" spans="2:6" s="11" customFormat="1" ht="15.75" x14ac:dyDescent="0.25">
      <c r="B58" s="686" t="s">
        <v>627</v>
      </c>
      <c r="C58" s="706">
        <f>REVEX!G62</f>
        <v>0</v>
      </c>
      <c r="D58" s="694"/>
      <c r="E58" s="590"/>
      <c r="F58" s="440"/>
    </row>
    <row r="59" spans="2:6" s="11" customFormat="1" ht="15.75" x14ac:dyDescent="0.25">
      <c r="B59" s="687" t="s">
        <v>628</v>
      </c>
      <c r="C59" s="707">
        <f>REVEX!G63</f>
        <v>0</v>
      </c>
      <c r="D59" s="694"/>
      <c r="E59" s="590"/>
      <c r="F59" s="440"/>
    </row>
    <row r="60" spans="2:6" s="11" customFormat="1" ht="16.5" thickBot="1" x14ac:dyDescent="0.3">
      <c r="B60" s="688" t="s">
        <v>629</v>
      </c>
      <c r="C60" s="708">
        <f>REVEX!G64</f>
        <v>0</v>
      </c>
      <c r="D60" s="696"/>
      <c r="E60" s="591"/>
      <c r="F60" s="440"/>
    </row>
    <row r="61" spans="2:6" s="11" customFormat="1" ht="16.5" thickBot="1" x14ac:dyDescent="0.3">
      <c r="B61" s="689" t="s">
        <v>395</v>
      </c>
      <c r="C61" s="709">
        <f>SUM(C62:C63)</f>
        <v>0</v>
      </c>
      <c r="D61" s="697"/>
      <c r="E61" s="594">
        <f t="shared" ref="E61:E63" si="0">C61-D61</f>
        <v>0</v>
      </c>
      <c r="F61" s="439"/>
    </row>
    <row r="62" spans="2:6" s="11" customFormat="1" ht="15.75" x14ac:dyDescent="0.25">
      <c r="B62" s="683" t="s">
        <v>398</v>
      </c>
      <c r="C62" s="703">
        <f>-REVEX!C78</f>
        <v>0</v>
      </c>
      <c r="D62" s="698"/>
      <c r="E62" s="595">
        <f t="shared" si="0"/>
        <v>0</v>
      </c>
      <c r="F62" s="440"/>
    </row>
    <row r="63" spans="2:6" s="11" customFormat="1" ht="16.5" thickBot="1" x14ac:dyDescent="0.3">
      <c r="B63" s="646" t="s">
        <v>200</v>
      </c>
      <c r="C63" s="705">
        <f>-REVEX!C85</f>
        <v>0</v>
      </c>
      <c r="D63" s="699"/>
      <c r="E63" s="596">
        <f t="shared" si="0"/>
        <v>0</v>
      </c>
      <c r="F63" s="440"/>
    </row>
    <row r="64" spans="2:6" s="24" customFormat="1" ht="15.75" thickBot="1" x14ac:dyDescent="0.3"/>
    <row r="65" spans="2:5" s="11" customFormat="1" ht="16.5" thickBot="1" x14ac:dyDescent="0.3">
      <c r="B65" s="597"/>
      <c r="C65" s="598" t="s">
        <v>477</v>
      </c>
      <c r="D65" s="598" t="s">
        <v>478</v>
      </c>
      <c r="E65" s="598" t="s">
        <v>479</v>
      </c>
    </row>
    <row r="66" spans="2:5" ht="16.5" thickBot="1" x14ac:dyDescent="0.3">
      <c r="B66" s="592" t="s">
        <v>610</v>
      </c>
      <c r="C66" s="593">
        <f>SUM(C67,C70,C71)</f>
        <v>0</v>
      </c>
      <c r="D66" s="593">
        <f>SUM(D67,D70)</f>
        <v>0</v>
      </c>
      <c r="E66" s="594">
        <f>SUM(E67,E70,E71)</f>
        <v>0</v>
      </c>
    </row>
    <row r="67" spans="2:5" ht="15.75" x14ac:dyDescent="0.25">
      <c r="B67" s="658" t="str">
        <f>"Frais fonctionnement accordés: "&amp;TEXT('Informations générales 3'!C37,"# ##0,00 €")</f>
        <v>Frais fonctionnement accordés: 0,00 €</v>
      </c>
      <c r="C67" s="599">
        <f>REVEX!C61</f>
        <v>0</v>
      </c>
      <c r="D67" s="599">
        <f>REVEX!C108</f>
        <v>0</v>
      </c>
      <c r="E67" s="600">
        <f t="shared" ref="E67:E71" si="1">C67-D67</f>
        <v>0</v>
      </c>
    </row>
    <row r="68" spans="2:5" ht="30.75" customHeight="1" x14ac:dyDescent="0.25">
      <c r="B68" s="678" t="s">
        <v>714</v>
      </c>
      <c r="C68" s="679" t="s">
        <v>461</v>
      </c>
      <c r="D68" s="679" t="s">
        <v>462</v>
      </c>
      <c r="E68" s="601"/>
    </row>
    <row r="69" spans="2:5" ht="15.75" x14ac:dyDescent="0.25">
      <c r="B69" s="656">
        <f>REVEX!H71</f>
        <v>0</v>
      </c>
      <c r="C69" s="657">
        <f>REVEX!H72</f>
        <v>0</v>
      </c>
      <c r="D69" s="657">
        <f>REVEX!H73</f>
        <v>0</v>
      </c>
      <c r="E69" s="601"/>
    </row>
    <row r="70" spans="2:5" ht="15.75" x14ac:dyDescent="0.25">
      <c r="B70" s="602" t="s">
        <v>518</v>
      </c>
      <c r="C70" s="603">
        <f>REVEX!E61+REVEX!F61</f>
        <v>0</v>
      </c>
      <c r="D70" s="603">
        <f>REVEX!E108+REVEX!F108</f>
        <v>0</v>
      </c>
      <c r="E70" s="604">
        <f t="shared" si="1"/>
        <v>0</v>
      </c>
    </row>
    <row r="71" spans="2:5" ht="16.5" thickBot="1" x14ac:dyDescent="0.3">
      <c r="B71" s="605" t="s">
        <v>395</v>
      </c>
      <c r="C71" s="606">
        <f>-REVEX!C83</f>
        <v>0</v>
      </c>
      <c r="D71" s="606"/>
      <c r="E71" s="607">
        <f t="shared" si="1"/>
        <v>0</v>
      </c>
    </row>
    <row r="72" spans="2:5" ht="16.5" thickBot="1" x14ac:dyDescent="0.3">
      <c r="B72" s="73"/>
      <c r="C72" s="73"/>
      <c r="D72" s="73"/>
      <c r="E72" s="73"/>
    </row>
    <row r="73" spans="2:5" ht="27" thickBot="1" x14ac:dyDescent="0.3">
      <c r="B73" s="665" t="s">
        <v>707</v>
      </c>
      <c r="C73" s="666"/>
      <c r="D73" s="667">
        <f>E25+E27+E66+E61</f>
        <v>0</v>
      </c>
      <c r="E73" s="668"/>
    </row>
    <row r="74" spans="2:5" ht="16.5" thickBot="1" x14ac:dyDescent="0.3">
      <c r="B74" s="73"/>
      <c r="C74" s="73"/>
      <c r="D74" s="73"/>
      <c r="E74" s="73"/>
    </row>
    <row r="75" spans="2:5" ht="16.5" thickBot="1" x14ac:dyDescent="0.3">
      <c r="B75" s="608"/>
      <c r="C75" s="609" t="s">
        <v>471</v>
      </c>
      <c r="D75" s="610"/>
      <c r="E75" s="611" t="s">
        <v>487</v>
      </c>
    </row>
    <row r="76" spans="2:5" ht="15.75" x14ac:dyDescent="0.25">
      <c r="B76" s="612" t="s">
        <v>488</v>
      </c>
      <c r="C76" s="613">
        <f>REVEX!K27</f>
        <v>0</v>
      </c>
      <c r="D76" s="614"/>
      <c r="E76" s="615">
        <f>C76*0.71</f>
        <v>0</v>
      </c>
    </row>
    <row r="77" spans="2:5" ht="15.75" x14ac:dyDescent="0.25">
      <c r="B77" s="612" t="s">
        <v>489</v>
      </c>
      <c r="C77" s="613">
        <f>REVEX!K28</f>
        <v>0</v>
      </c>
      <c r="D77" s="614"/>
      <c r="E77" s="615">
        <f>C77*6</f>
        <v>0</v>
      </c>
    </row>
    <row r="78" spans="2:5" ht="16.5" thickBot="1" x14ac:dyDescent="0.3">
      <c r="B78" s="616" t="s">
        <v>490</v>
      </c>
      <c r="C78" s="617"/>
      <c r="D78" s="618"/>
      <c r="E78" s="619">
        <f>SUM(E76:E77)</f>
        <v>0</v>
      </c>
    </row>
    <row r="79" spans="2:5" ht="16.5" thickBot="1" x14ac:dyDescent="0.3">
      <c r="B79" s="620"/>
      <c r="C79" s="614"/>
      <c r="D79" s="614"/>
      <c r="E79" s="621"/>
    </row>
    <row r="80" spans="2:5" s="24" customFormat="1" ht="16.5" hidden="1" thickBot="1" x14ac:dyDescent="0.3">
      <c r="B80" s="620" t="s">
        <v>670</v>
      </c>
      <c r="C80" s="622"/>
      <c r="D80" s="622"/>
      <c r="E80" s="622"/>
    </row>
    <row r="81" spans="1:6" ht="16.5" hidden="1" thickBot="1" x14ac:dyDescent="0.3">
      <c r="B81" s="623"/>
      <c r="C81" s="624" t="s">
        <v>477</v>
      </c>
      <c r="D81" s="624" t="s">
        <v>478</v>
      </c>
      <c r="E81" s="624" t="s">
        <v>479</v>
      </c>
    </row>
    <row r="82" spans="1:6" ht="16.5" hidden="1" thickBot="1" x14ac:dyDescent="0.3">
      <c r="A82" s="441">
        <f>'Informations générales 1'!$C$14</f>
        <v>0.75</v>
      </c>
      <c r="B82" s="625" t="str">
        <f>"Personnel supplémentaire COVID-19 (cf. Convention - Annexe 2) "&amp;'Informations générales 1'!$C$10</f>
        <v>Personnel supplémentaire COVID-19 (cf. Convention - Annexe 2) 2024</v>
      </c>
      <c r="C82" s="626">
        <f>REVEX!F233+REVEX!H233</f>
        <v>0</v>
      </c>
      <c r="D82" s="627">
        <f>REVEX!K208</f>
        <v>0</v>
      </c>
      <c r="E82" s="627">
        <f t="shared" ref="E82" si="2">C82-D82</f>
        <v>0</v>
      </c>
    </row>
    <row r="83" spans="1:6" ht="16.5" hidden="1" thickBot="1" x14ac:dyDescent="0.3">
      <c r="A83" s="441"/>
      <c r="B83" s="628"/>
      <c r="C83" s="629"/>
      <c r="D83" s="630"/>
      <c r="E83" s="630"/>
    </row>
    <row r="84" spans="1:6" ht="16.5" hidden="1" thickBot="1" x14ac:dyDescent="0.3">
      <c r="B84" s="511" t="s">
        <v>705</v>
      </c>
      <c r="C84" s="278"/>
      <c r="D84" s="466"/>
      <c r="E84" s="280"/>
    </row>
    <row r="85" spans="1:6" ht="15.75" hidden="1" x14ac:dyDescent="0.25">
      <c r="B85" s="73"/>
      <c r="C85" s="614"/>
      <c r="D85" s="614"/>
      <c r="E85" s="621"/>
    </row>
    <row r="86" spans="1:6" ht="16.5" hidden="1" thickBot="1" x14ac:dyDescent="0.3">
      <c r="B86" s="620" t="s">
        <v>674</v>
      </c>
      <c r="C86" s="614"/>
      <c r="D86" s="614"/>
      <c r="E86" s="621"/>
    </row>
    <row r="87" spans="1:6" ht="16.5" hidden="1" thickBot="1" x14ac:dyDescent="0.3">
      <c r="B87" s="631"/>
      <c r="C87" s="624" t="s">
        <v>477</v>
      </c>
      <c r="D87" s="624" t="s">
        <v>588</v>
      </c>
      <c r="E87" s="624" t="s">
        <v>590</v>
      </c>
    </row>
    <row r="88" spans="1:6" ht="15.75" hidden="1" x14ac:dyDescent="0.25">
      <c r="A88" s="441">
        <v>1</v>
      </c>
      <c r="B88" s="632" t="s">
        <v>624</v>
      </c>
      <c r="C88" s="633">
        <f>REVEX!E233+REVEX!G233</f>
        <v>0</v>
      </c>
      <c r="D88" s="634">
        <f>C88*A88</f>
        <v>0</v>
      </c>
      <c r="E88" s="635">
        <f>(1-A88)*C88</f>
        <v>0</v>
      </c>
    </row>
    <row r="89" spans="1:6" ht="16.5" hidden="1" thickBot="1" x14ac:dyDescent="0.3">
      <c r="A89" s="441"/>
      <c r="B89" s="636" t="s">
        <v>667</v>
      </c>
      <c r="C89" s="637">
        <f>REVEX!F207</f>
        <v>0</v>
      </c>
      <c r="D89" s="638">
        <f>C89*A88</f>
        <v>0</v>
      </c>
      <c r="E89" s="639">
        <f>(1-A88)*C89</f>
        <v>0</v>
      </c>
    </row>
    <row r="90" spans="1:6" ht="15.75" hidden="1" x14ac:dyDescent="0.25">
      <c r="A90" s="441"/>
      <c r="B90" s="632" t="s">
        <v>668</v>
      </c>
      <c r="C90" s="633"/>
      <c r="D90" s="634">
        <f>REVEX!D207</f>
        <v>0</v>
      </c>
      <c r="E90" s="635"/>
    </row>
    <row r="91" spans="1:6" ht="16.5" hidden="1" thickBot="1" x14ac:dyDescent="0.3">
      <c r="A91" s="441"/>
      <c r="B91" s="640" t="s">
        <v>669</v>
      </c>
      <c r="C91" s="641"/>
      <c r="D91" s="641">
        <f>(D88+D89)-D90</f>
        <v>0</v>
      </c>
      <c r="E91" s="642" t="str">
        <f>IF(D91&lt;0,"Solde à rembourser au MENJE","Solde à virer par le MENJE")</f>
        <v>Solde à virer par le MENJE</v>
      </c>
    </row>
    <row r="92" spans="1:6" ht="15.75" hidden="1" x14ac:dyDescent="0.25">
      <c r="A92" s="441"/>
      <c r="B92" s="643"/>
      <c r="C92" s="629"/>
      <c r="D92" s="629"/>
      <c r="E92" s="629"/>
    </row>
    <row r="93" spans="1:6" ht="16.5" hidden="1" thickBot="1" x14ac:dyDescent="0.3">
      <c r="A93" s="441"/>
      <c r="B93" s="643"/>
      <c r="C93" s="629"/>
      <c r="D93" s="629"/>
      <c r="E93" s="629"/>
    </row>
    <row r="94" spans="1:6" ht="16.5" hidden="1" thickBot="1" x14ac:dyDescent="0.3">
      <c r="B94" s="511" t="s">
        <v>707</v>
      </c>
      <c r="C94" s="278"/>
      <c r="D94" s="466">
        <f>D73-E78</f>
        <v>0</v>
      </c>
      <c r="E94" s="280"/>
    </row>
    <row r="95" spans="1:6" ht="16.5" hidden="1" thickBot="1" x14ac:dyDescent="0.3">
      <c r="B95" s="73"/>
      <c r="C95" s="614"/>
      <c r="D95" s="614"/>
      <c r="E95" s="621"/>
    </row>
    <row r="96" spans="1:6" ht="16.5" thickBot="1" x14ac:dyDescent="0.3">
      <c r="B96" s="508" t="s">
        <v>495</v>
      </c>
      <c r="C96" s="509" t="s">
        <v>496</v>
      </c>
      <c r="D96" s="509" t="s">
        <v>497</v>
      </c>
      <c r="E96" s="510" t="s">
        <v>303</v>
      </c>
      <c r="F96" s="3"/>
    </row>
    <row r="97" spans="2:6" ht="15.75" x14ac:dyDescent="0.25">
      <c r="B97" s="292" t="str">
        <f>"MENJE "&amp;'Informations générales 1'!C14*100 &amp;"%"</f>
        <v>MENJE 75%</v>
      </c>
      <c r="C97" s="372">
        <f>(D73-C98)</f>
        <v>0</v>
      </c>
      <c r="D97" s="372">
        <f>REVEX!C77</f>
        <v>0</v>
      </c>
      <c r="E97" s="373">
        <f>C97-D97</f>
        <v>0</v>
      </c>
      <c r="F97" s="3"/>
    </row>
    <row r="98" spans="2:6" ht="16.5" thickBot="1" x14ac:dyDescent="0.3">
      <c r="B98" s="293" t="str">
        <f>"Commune "&amp;(1-'Informations générales 1'!C14)*100&amp;"%"</f>
        <v>Commune 25%</v>
      </c>
      <c r="C98" s="374">
        <f>((D73-E78)*(1-REVEX!E13))</f>
        <v>0</v>
      </c>
      <c r="D98" s="374">
        <f>REVEX!C79</f>
        <v>0</v>
      </c>
      <c r="E98" s="375">
        <f>C98-D98</f>
        <v>0</v>
      </c>
      <c r="F98" s="3"/>
    </row>
    <row r="99" spans="2:6" ht="15.75" hidden="1" x14ac:dyDescent="0.25">
      <c r="B99" s="500"/>
      <c r="C99" s="501"/>
      <c r="D99" s="501"/>
      <c r="E99" s="501"/>
      <c r="F99" s="3"/>
    </row>
    <row r="100" spans="2:6" ht="15.75" hidden="1" x14ac:dyDescent="0.25">
      <c r="B100" s="73"/>
      <c r="C100" s="73"/>
      <c r="D100" s="73"/>
      <c r="E100" s="73"/>
    </row>
    <row r="101" spans="2:6" ht="15.75" hidden="1" x14ac:dyDescent="0.25">
      <c r="B101" s="73"/>
      <c r="C101" s="73"/>
      <c r="D101" s="73"/>
      <c r="E101" s="73"/>
    </row>
    <row r="102" spans="2:6" ht="15.75" hidden="1" x14ac:dyDescent="0.25">
      <c r="B102" s="73"/>
      <c r="C102" s="73"/>
      <c r="D102" s="73"/>
      <c r="E102" s="73"/>
    </row>
    <row r="103" spans="2:6" ht="15.75" hidden="1" x14ac:dyDescent="0.25">
      <c r="B103" s="73"/>
      <c r="C103" s="73"/>
      <c r="D103" s="73"/>
      <c r="E103" s="73"/>
    </row>
    <row r="104" spans="2:6" ht="15.75" hidden="1" x14ac:dyDescent="0.25">
      <c r="B104" s="73"/>
      <c r="C104" s="73"/>
      <c r="D104" s="73"/>
      <c r="E104" s="73"/>
    </row>
    <row r="105" spans="2:6" ht="15.75" hidden="1" x14ac:dyDescent="0.25">
      <c r="B105" s="73"/>
      <c r="C105" s="73"/>
      <c r="D105" s="73"/>
      <c r="E105" s="73"/>
    </row>
    <row r="106" spans="2:6" ht="16.5" hidden="1" thickBot="1" x14ac:dyDescent="0.3">
      <c r="B106" s="73"/>
      <c r="C106" s="73"/>
      <c r="D106" s="73"/>
      <c r="E106" s="73"/>
    </row>
    <row r="107" spans="2:6" ht="15.75" hidden="1" x14ac:dyDescent="0.25">
      <c r="B107" s="644" t="s">
        <v>499</v>
      </c>
      <c r="C107" s="645"/>
      <c r="D107" s="73"/>
      <c r="E107" s="73"/>
    </row>
    <row r="108" spans="2:6" ht="16.5" hidden="1" thickBot="1" x14ac:dyDescent="0.3">
      <c r="B108" s="646" t="s">
        <v>500</v>
      </c>
      <c r="C108" s="647">
        <f>BPI!F13</f>
        <v>0</v>
      </c>
      <c r="D108" s="73"/>
      <c r="E108" s="73"/>
    </row>
    <row r="109" spans="2:6" ht="15.75" x14ac:dyDescent="0.25">
      <c r="B109" s="614"/>
      <c r="C109" s="648"/>
      <c r="D109" s="73"/>
      <c r="E109" s="73"/>
    </row>
    <row r="110" spans="2:6" ht="15.75" x14ac:dyDescent="0.25">
      <c r="B110" s="649"/>
      <c r="C110" s="650"/>
      <c r="D110" s="650"/>
      <c r="E110" s="651"/>
    </row>
    <row r="111" spans="2:6" ht="15.75" x14ac:dyDescent="0.25">
      <c r="B111" s="302" t="s">
        <v>491</v>
      </c>
      <c r="C111" s="733">
        <f ca="1">TODAY()</f>
        <v>45691</v>
      </c>
      <c r="D111" s="733"/>
      <c r="E111" s="652"/>
    </row>
    <row r="112" spans="2:6" ht="15.75" hidden="1" x14ac:dyDescent="0.25">
      <c r="B112" s="302"/>
      <c r="C112" s="304"/>
      <c r="D112" s="304"/>
      <c r="E112" s="652"/>
    </row>
    <row r="113" spans="2:8" ht="15.75" hidden="1" x14ac:dyDescent="0.25">
      <c r="B113" s="302"/>
      <c r="C113" s="304"/>
      <c r="D113" s="304"/>
      <c r="E113" s="652"/>
    </row>
    <row r="114" spans="2:8" ht="15.75" x14ac:dyDescent="0.25">
      <c r="B114" s="302" t="s">
        <v>492</v>
      </c>
      <c r="C114" s="305"/>
      <c r="D114" s="305"/>
      <c r="E114" s="652"/>
    </row>
    <row r="115" spans="2:8" ht="15.75" x14ac:dyDescent="0.25">
      <c r="B115" s="302"/>
      <c r="C115" s="734"/>
      <c r="D115" s="734"/>
      <c r="E115" s="652"/>
    </row>
    <row r="116" spans="2:8" ht="15.75" x14ac:dyDescent="0.25">
      <c r="B116" s="302"/>
      <c r="C116" s="304"/>
      <c r="D116" s="304"/>
      <c r="E116" s="652"/>
    </row>
    <row r="117" spans="2:8" ht="15.75" x14ac:dyDescent="0.25">
      <c r="B117" s="302"/>
      <c r="C117" s="304"/>
      <c r="D117" s="304"/>
      <c r="E117" s="652"/>
    </row>
    <row r="118" spans="2:8" ht="15.75" x14ac:dyDescent="0.25">
      <c r="B118" s="302" t="s">
        <v>494</v>
      </c>
      <c r="C118" s="305"/>
      <c r="D118" s="305"/>
      <c r="E118" s="652"/>
    </row>
    <row r="119" spans="2:8" ht="15.75" x14ac:dyDescent="0.25">
      <c r="B119" s="306"/>
      <c r="C119" s="305"/>
      <c r="D119" s="305"/>
      <c r="E119" s="653"/>
    </row>
    <row r="120" spans="2:8" ht="15.75" x14ac:dyDescent="0.25">
      <c r="B120" s="659" t="str">
        <f>IF(AND(B122="",B123="",B124="")=TRUE,"","Pièces à joindre:")</f>
        <v/>
      </c>
      <c r="C120" s="659" t="str">
        <f>IF(AND(C121="",C122="",C123="")=TRUE,"","ATTENTION")</f>
        <v/>
      </c>
    </row>
    <row r="121" spans="2:8" ht="15.75" x14ac:dyDescent="0.25">
      <c r="B121" s="73" t="str">
        <f>IF('Informations générales 3'!C79="OUI","--&gt; Copie de la Convention PEP","")</f>
        <v/>
      </c>
      <c r="C121" s="735" t="str">
        <f>IF(G121=H121,"","Différence au niveau des frais de personnel de "&amp;TEXT(G121-H121,"# ###,00€")&amp;". Veuillez revoir les allocations dans les onglet SALAIRES CCT SAS/COMMMUNE")</f>
        <v/>
      </c>
      <c r="D121" s="735"/>
      <c r="E121" s="735"/>
      <c r="G121" s="677">
        <f>ROUND('SALAIRES CCT SAS'!AA4+'SALAIRES COMMUNE'!AB4,2)</f>
        <v>0</v>
      </c>
      <c r="H121" s="677">
        <f>ROUND(REVEX!E66+REVEX!F66,2)</f>
        <v>0</v>
      </c>
    </row>
    <row r="122" spans="2:8" ht="15.75" x14ac:dyDescent="0.25">
      <c r="B122" s="73" t="str">
        <f>IF('Informations générales 3'!C36&gt;0,"--&gt; Copie de la lettre d'accord pour des heures de projets spécifiques. (Renfort temporaire exclu)","")</f>
        <v/>
      </c>
      <c r="C122" s="735" t="str">
        <f>IF(G122=H122,"","Différence au niveau des frais fonctionnement de "&amp;TEXT(G122-H122,"# ###,00€")&amp;". Veuillez revoir les allocations dans l'onglet FONCTIONNEMENT")</f>
        <v/>
      </c>
      <c r="D122" s="735"/>
      <c r="E122" s="735"/>
      <c r="G122" s="677">
        <f>ROUND(FONCTIONNEMENT!D6,2)</f>
        <v>0</v>
      </c>
      <c r="H122" s="677">
        <f>ROUND(REVEX!C66,2)</f>
        <v>0</v>
      </c>
    </row>
    <row r="123" spans="2:8" ht="15.75" x14ac:dyDescent="0.25">
      <c r="B123" s="73" t="str">
        <f>IF('Informations générales 3'!C37&gt;0,"--&gt; Copie de la lettre d'accord pour de frais de fonctionnement dans le cadre d'un projet spécifique","")</f>
        <v/>
      </c>
      <c r="C123" s="735" t="str">
        <f>IF(G123=H123,"","Différence au niveau des recettes de "&amp;TEXT(G123-H123,"# ###,00€")&amp;". Veuillez revoir les allocations dans l'onglet RECETTES")</f>
        <v/>
      </c>
      <c r="D123" s="735"/>
      <c r="E123" s="735"/>
      <c r="G123" s="677">
        <f>ROUND('RECETTES'!D7,2)</f>
        <v>0</v>
      </c>
      <c r="H123" s="677">
        <f>ROUND(REVEX!C86,2)</f>
        <v>0</v>
      </c>
    </row>
    <row r="124" spans="2:8" ht="15.75" x14ac:dyDescent="0.25">
      <c r="B124" s="73" t="str">
        <f>IF(OR(D25&gt;0,D27&gt;0,D66&gt;0)=TRUE,"--&gt; Argumentaire pour le(s) dépassement(s) "&amp;IF(D25&gt;0,B25,"")&amp;IF(D27&gt;0,", "&amp;B27,"")&amp;IF(D66&gt;0,", "&amp;B66,""),"")</f>
        <v/>
      </c>
      <c r="C124" s="73"/>
    </row>
  </sheetData>
  <sheetProtection algorithmName="SHA-512" hashValue="jOtXsMK0tGL1hK2KFa3i4amM7pC2ed5tWKU/6OVutiNvnB2T4W+UglM2oHf7rJ2jcC+2ks/n1g5x4hQT27xfnA==" saltValue="Hs5nUbLcq8S7Iq8/m+1rng==" spinCount="100000" sheet="1" selectLockedCells="1"/>
  <mergeCells count="5">
    <mergeCell ref="C111:D111"/>
    <mergeCell ref="C115:D115"/>
    <mergeCell ref="C121:E121"/>
    <mergeCell ref="C122:E122"/>
    <mergeCell ref="C123:E123"/>
  </mergeCells>
  <conditionalFormatting sqref="B120:B124">
    <cfRule type="expression" dxfId="108" priority="2">
      <formula>$B120&lt;&gt;""</formula>
    </cfRule>
  </conditionalFormatting>
  <conditionalFormatting sqref="C120:C124">
    <cfRule type="expression" dxfId="107" priority="1">
      <formula>$C120&lt;&gt;""</formula>
    </cfRule>
  </conditionalFormatting>
  <pageMargins left="0.7" right="0.7" top="0.75" bottom="0.75" header="0.3" footer="0.3"/>
  <pageSetup paperSize="8" scale="1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 id="{CC8A2022-67C3-4C58-89DB-03F8AE161188}">
            <xm:f>'Informations générales 3'!$C$75="NON"</xm:f>
            <x14:dxf>
              <font>
                <color theme="0"/>
              </font>
              <fill>
                <patternFill>
                  <bgColor theme="0"/>
                </patternFill>
              </fill>
              <border>
                <left/>
                <right/>
                <top/>
                <bottom/>
                <vertical/>
                <horizontal/>
              </border>
            </x14:dxf>
          </x14:cfRule>
          <xm:sqref>B86:E92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itre" prompt="Veuillez choisir parmis la liste déroulante." xr:uid="{264A2C42-4901-47AB-93E7-A4FA540286FE}">
          <x14:formula1>
            <xm:f>'Variable et Dropdowns'!$A$12:$A$18</xm:f>
          </x14:formula1>
          <xm:sqref>C115:D115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46A6A-DF1D-4052-B51B-C04853282D28}">
  <sheetPr codeName="Sheet17">
    <tabColor rgb="FFFFFF00"/>
    <pageSetUpPr fitToPage="1"/>
  </sheetPr>
  <dimension ref="B1:F87"/>
  <sheetViews>
    <sheetView topLeftCell="B35" zoomScale="85" zoomScaleNormal="85" workbookViewId="0">
      <selection activeCell="C42" sqref="C42"/>
    </sheetView>
  </sheetViews>
  <sheetFormatPr defaultColWidth="9.140625" defaultRowHeight="15" x14ac:dyDescent="0.25"/>
  <cols>
    <col min="1" max="1" width="9.140625" style="2"/>
    <col min="2" max="2" width="87.7109375" style="2" bestFit="1" customWidth="1"/>
    <col min="3" max="3" width="39.28515625" style="2" bestFit="1" customWidth="1"/>
    <col min="4" max="4" width="35.140625" style="391" customWidth="1"/>
    <col min="5" max="5" width="16.28515625" style="2" bestFit="1" customWidth="1"/>
    <col min="6" max="6" width="22.28515625" style="2" bestFit="1" customWidth="1"/>
    <col min="7" max="16384" width="9.140625" style="2"/>
  </cols>
  <sheetData>
    <row r="1" spans="2:4" x14ac:dyDescent="0.25">
      <c r="B1" s="11" t="str">
        <f>'Informations générales 1'!B7</f>
        <v>DECOMPTE ANNUEL</v>
      </c>
    </row>
    <row r="2" spans="2:4" x14ac:dyDescent="0.25">
      <c r="B2" s="11" t="str">
        <f>'Informations générales 1'!C20&amp;" - "&amp;'Informations générales 1'!C24</f>
        <v>Nom Gestionnaire - Nom SEA</v>
      </c>
    </row>
    <row r="3" spans="2:4" x14ac:dyDescent="0.25">
      <c r="B3" s="19">
        <f>'Informations générales 1'!C10</f>
        <v>2024</v>
      </c>
    </row>
    <row r="5" spans="2:4" x14ac:dyDescent="0.25">
      <c r="B5" s="11" t="s">
        <v>587</v>
      </c>
    </row>
    <row r="7" spans="2:4" ht="15.75" hidden="1" thickBot="1" x14ac:dyDescent="0.3">
      <c r="B7" s="245"/>
      <c r="C7" s="246" t="s">
        <v>471</v>
      </c>
      <c r="D7" s="392" t="s">
        <v>472</v>
      </c>
    </row>
    <row r="8" spans="2:4" hidden="1" x14ac:dyDescent="0.25">
      <c r="B8" s="247"/>
      <c r="C8" s="247"/>
      <c r="D8" s="393"/>
    </row>
    <row r="9" spans="2:4" hidden="1" x14ac:dyDescent="0.25">
      <c r="B9" s="247"/>
      <c r="C9" s="247"/>
      <c r="D9" s="393"/>
    </row>
    <row r="10" spans="2:4" hidden="1" x14ac:dyDescent="0.25">
      <c r="B10" s="248" t="s">
        <v>480</v>
      </c>
      <c r="C10" s="249">
        <f>REVEX!F23</f>
        <v>0</v>
      </c>
      <c r="D10" s="394"/>
    </row>
    <row r="11" spans="2:4" hidden="1" x14ac:dyDescent="0.25">
      <c r="B11" s="250" t="s">
        <v>425</v>
      </c>
      <c r="C11" s="251">
        <f>REVEX!F26</f>
        <v>0</v>
      </c>
      <c r="D11" s="395"/>
    </row>
    <row r="12" spans="2:4" hidden="1" x14ac:dyDescent="0.25">
      <c r="B12" s="252" t="s">
        <v>473</v>
      </c>
      <c r="C12" s="253"/>
      <c r="D12" s="396">
        <f>IF(C10=0,0,C11/C10)</f>
        <v>0</v>
      </c>
    </row>
    <row r="13" spans="2:4" ht="15.75" hidden="1" thickBot="1" x14ac:dyDescent="0.3">
      <c r="B13" s="254" t="s">
        <v>481</v>
      </c>
      <c r="C13" s="255">
        <f>IF(C10&lt;C11,C11,C10)</f>
        <v>0</v>
      </c>
      <c r="D13" s="397"/>
    </row>
    <row r="14" spans="2:4" hidden="1" x14ac:dyDescent="0.25">
      <c r="B14" s="256"/>
      <c r="C14" s="257"/>
      <c r="D14" s="393"/>
    </row>
    <row r="15" spans="2:4" hidden="1" x14ac:dyDescent="0.25">
      <c r="B15" s="248" t="s">
        <v>423</v>
      </c>
      <c r="C15" s="249">
        <f>REVEX!F24</f>
        <v>0</v>
      </c>
      <c r="D15" s="394"/>
    </row>
    <row r="16" spans="2:4" hidden="1" x14ac:dyDescent="0.25">
      <c r="B16" s="250" t="s">
        <v>482</v>
      </c>
      <c r="C16" s="251">
        <f>REVEX!F27</f>
        <v>0</v>
      </c>
      <c r="D16" s="395"/>
    </row>
    <row r="17" spans="2:6" hidden="1" x14ac:dyDescent="0.25">
      <c r="B17" s="258" t="str">
        <f>IF(C17=0,"","Heures inclusives (1,5%)")</f>
        <v/>
      </c>
      <c r="C17" s="251">
        <f>REVEX!F69</f>
        <v>0</v>
      </c>
      <c r="D17" s="395"/>
    </row>
    <row r="18" spans="2:6" ht="15.75" hidden="1" thickBot="1" x14ac:dyDescent="0.3">
      <c r="B18" s="259" t="str">
        <f>IF(C18=0,"","heures EPL")</f>
        <v/>
      </c>
      <c r="C18" s="260">
        <f>REVEX!F70</f>
        <v>0</v>
      </c>
      <c r="D18" s="398"/>
    </row>
    <row r="19" spans="2:6" ht="15.75" hidden="1" thickBot="1" x14ac:dyDescent="0.3">
      <c r="B19" s="254" t="s">
        <v>474</v>
      </c>
      <c r="C19" s="261">
        <f>REVEX!F71</f>
        <v>0</v>
      </c>
      <c r="D19" s="397"/>
    </row>
    <row r="20" spans="2:6" hidden="1" x14ac:dyDescent="0.25">
      <c r="B20" s="262" t="s">
        <v>475</v>
      </c>
      <c r="C20" s="263">
        <f>REVEX!F72</f>
        <v>0</v>
      </c>
      <c r="D20" s="399"/>
    </row>
    <row r="21" spans="2:6" ht="15.75" hidden="1" thickBot="1" x14ac:dyDescent="0.3">
      <c r="B21" s="264" t="str">
        <f>IF(C21=0,"","Dépassement en heures d'encadrement")</f>
        <v/>
      </c>
      <c r="C21" s="265">
        <f>REVEX!F73</f>
        <v>0</v>
      </c>
      <c r="D21" s="398"/>
    </row>
    <row r="22" spans="2:6" ht="15.75" thickBot="1" x14ac:dyDescent="0.3"/>
    <row r="23" spans="2:6" ht="15.75" thickBot="1" x14ac:dyDescent="0.3">
      <c r="C23" s="246" t="s">
        <v>477</v>
      </c>
      <c r="D23" s="392" t="s">
        <v>589</v>
      </c>
      <c r="E23" s="246" t="s">
        <v>588</v>
      </c>
      <c r="F23" s="246" t="s">
        <v>590</v>
      </c>
    </row>
    <row r="24" spans="2:6" ht="23.25" customHeight="1" thickBot="1" x14ac:dyDescent="0.3">
      <c r="B24" s="266" t="s">
        <v>594</v>
      </c>
      <c r="C24" s="352">
        <f>REVEX!E233+REVEX!G233</f>
        <v>0</v>
      </c>
      <c r="D24" s="400">
        <v>1</v>
      </c>
      <c r="E24" s="353">
        <f>C24*D24</f>
        <v>0</v>
      </c>
      <c r="F24" s="353">
        <f>(1-D24)*E24</f>
        <v>0</v>
      </c>
    </row>
    <row r="25" spans="2:6" ht="23.25" customHeight="1" thickBot="1" x14ac:dyDescent="0.3">
      <c r="B25" s="266" t="s">
        <v>595</v>
      </c>
      <c r="C25" s="352">
        <f>REVEX!F233+REVEX!H233</f>
        <v>0</v>
      </c>
      <c r="D25" s="425">
        <f>'Informations générales 1'!$C$14</f>
        <v>0.75</v>
      </c>
      <c r="E25" s="353">
        <f t="shared" ref="E25:E51" si="0">C25*D25</f>
        <v>0</v>
      </c>
      <c r="F25" s="353">
        <f>(1-D25)*E25</f>
        <v>0</v>
      </c>
    </row>
    <row r="26" spans="2:6" ht="23.25" customHeight="1" thickBot="1" x14ac:dyDescent="0.3">
      <c r="B26" s="266" t="s">
        <v>593</v>
      </c>
      <c r="C26" s="352">
        <f>C27+C28+C33+C42+C46+C50</f>
        <v>0</v>
      </c>
      <c r="D26" s="400"/>
      <c r="E26" s="354">
        <f>E27+E28+E33+E42+E46+E50</f>
        <v>0</v>
      </c>
      <c r="F26" s="354">
        <f>F27+F28+F33+F42+F46+F50</f>
        <v>0</v>
      </c>
    </row>
    <row r="27" spans="2:6" s="11" customFormat="1" ht="24.75" customHeight="1" thickBot="1" x14ac:dyDescent="0.3">
      <c r="B27" s="267" t="s">
        <v>93</v>
      </c>
      <c r="C27" s="355">
        <f>REVEX!D210</f>
        <v>0</v>
      </c>
      <c r="D27" s="401">
        <f>'Informations générales 1'!$C$14</f>
        <v>0.75</v>
      </c>
      <c r="E27" s="356">
        <f t="shared" si="0"/>
        <v>0</v>
      </c>
      <c r="F27" s="356">
        <f t="shared" ref="F27:F51" si="1">(1-D27)*E27</f>
        <v>0</v>
      </c>
    </row>
    <row r="28" spans="2:6" s="11" customFormat="1" ht="24.75" customHeight="1" thickBot="1" x14ac:dyDescent="0.3">
      <c r="B28" s="267" t="s">
        <v>470</v>
      </c>
      <c r="C28" s="355">
        <f>SUM(C29:C32)</f>
        <v>0</v>
      </c>
      <c r="D28" s="401">
        <f>'Informations générales 1'!$C$14</f>
        <v>0.75</v>
      </c>
      <c r="E28" s="356">
        <f t="shared" ref="E28:F28" si="2">SUM(E29:E32)</f>
        <v>0</v>
      </c>
      <c r="F28" s="356">
        <f t="shared" si="2"/>
        <v>0</v>
      </c>
    </row>
    <row r="29" spans="2:6" x14ac:dyDescent="0.25">
      <c r="B29" s="268" t="s">
        <v>94</v>
      </c>
      <c r="C29" s="357">
        <f>REVEX!D211</f>
        <v>0</v>
      </c>
      <c r="D29" s="402">
        <f>'Informations générales 1'!$C$14</f>
        <v>0.75</v>
      </c>
      <c r="E29" s="358">
        <f t="shared" si="0"/>
        <v>0</v>
      </c>
      <c r="F29" s="358">
        <f t="shared" si="1"/>
        <v>0</v>
      </c>
    </row>
    <row r="30" spans="2:6" x14ac:dyDescent="0.25">
      <c r="B30" s="269" t="s">
        <v>95</v>
      </c>
      <c r="C30" s="359">
        <f>REVEX!D212</f>
        <v>0</v>
      </c>
      <c r="D30" s="403">
        <f>'Informations générales 1'!$C$14</f>
        <v>0.75</v>
      </c>
      <c r="E30" s="360">
        <f t="shared" si="0"/>
        <v>0</v>
      </c>
      <c r="F30" s="360">
        <f t="shared" si="1"/>
        <v>0</v>
      </c>
    </row>
    <row r="31" spans="2:6" x14ac:dyDescent="0.25">
      <c r="B31" s="269" t="s">
        <v>96</v>
      </c>
      <c r="C31" s="359">
        <f>REVEX!D213</f>
        <v>0</v>
      </c>
      <c r="D31" s="403">
        <f>'Informations générales 1'!$C$14</f>
        <v>0.75</v>
      </c>
      <c r="E31" s="360">
        <f t="shared" si="0"/>
        <v>0</v>
      </c>
      <c r="F31" s="360">
        <f t="shared" si="1"/>
        <v>0</v>
      </c>
    </row>
    <row r="32" spans="2:6" ht="15.75" thickBot="1" x14ac:dyDescent="0.3">
      <c r="B32" s="270" t="s">
        <v>97</v>
      </c>
      <c r="C32" s="361">
        <f>REVEX!D214</f>
        <v>0</v>
      </c>
      <c r="D32" s="404">
        <f>'Informations générales 1'!$C$14</f>
        <v>0.75</v>
      </c>
      <c r="E32" s="362">
        <f t="shared" si="0"/>
        <v>0</v>
      </c>
      <c r="F32" s="362">
        <f t="shared" si="1"/>
        <v>0</v>
      </c>
    </row>
    <row r="33" spans="2:6" s="11" customFormat="1" ht="24.75" customHeight="1" thickBot="1" x14ac:dyDescent="0.3">
      <c r="B33" s="267" t="s">
        <v>484</v>
      </c>
      <c r="C33" s="355">
        <f>SUM(C34:C41)</f>
        <v>0</v>
      </c>
      <c r="D33" s="401">
        <f>'Informations générales 1'!$C$14</f>
        <v>0.75</v>
      </c>
      <c r="E33" s="356">
        <f t="shared" ref="E33:F33" si="3">SUM(E34:E41)</f>
        <v>0</v>
      </c>
      <c r="F33" s="356">
        <f t="shared" si="3"/>
        <v>0</v>
      </c>
    </row>
    <row r="34" spans="2:6" x14ac:dyDescent="0.25">
      <c r="B34" s="268" t="s">
        <v>111</v>
      </c>
      <c r="C34" s="357">
        <f>REVEX!D215</f>
        <v>0</v>
      </c>
      <c r="D34" s="402">
        <f>'Informations générales 1'!$C$14</f>
        <v>0.75</v>
      </c>
      <c r="E34" s="358">
        <f t="shared" si="0"/>
        <v>0</v>
      </c>
      <c r="F34" s="358">
        <f t="shared" si="1"/>
        <v>0</v>
      </c>
    </row>
    <row r="35" spans="2:6" x14ac:dyDescent="0.25">
      <c r="B35" s="269" t="s">
        <v>98</v>
      </c>
      <c r="C35" s="359">
        <f>REVEX!D216</f>
        <v>0</v>
      </c>
      <c r="D35" s="403">
        <f>'Informations générales 1'!$C$14</f>
        <v>0.75</v>
      </c>
      <c r="E35" s="360">
        <f t="shared" si="0"/>
        <v>0</v>
      </c>
      <c r="F35" s="360">
        <f t="shared" si="1"/>
        <v>0</v>
      </c>
    </row>
    <row r="36" spans="2:6" x14ac:dyDescent="0.25">
      <c r="B36" s="269" t="s">
        <v>99</v>
      </c>
      <c r="C36" s="359">
        <f>REVEX!D217</f>
        <v>0</v>
      </c>
      <c r="D36" s="403">
        <f>'Informations générales 1'!$C$14</f>
        <v>0.75</v>
      </c>
      <c r="E36" s="360">
        <f t="shared" si="0"/>
        <v>0</v>
      </c>
      <c r="F36" s="360">
        <f t="shared" si="1"/>
        <v>0</v>
      </c>
    </row>
    <row r="37" spans="2:6" x14ac:dyDescent="0.25">
      <c r="B37" s="269" t="s">
        <v>100</v>
      </c>
      <c r="C37" s="359">
        <f>REVEX!D218</f>
        <v>0</v>
      </c>
      <c r="D37" s="403">
        <f>'Informations générales 1'!$C$14</f>
        <v>0.75</v>
      </c>
      <c r="E37" s="360">
        <f t="shared" si="0"/>
        <v>0</v>
      </c>
      <c r="F37" s="360">
        <f t="shared" si="1"/>
        <v>0</v>
      </c>
    </row>
    <row r="38" spans="2:6" x14ac:dyDescent="0.25">
      <c r="B38" s="269" t="s">
        <v>101</v>
      </c>
      <c r="C38" s="359">
        <f>REVEX!D219</f>
        <v>0</v>
      </c>
      <c r="D38" s="403">
        <f>'Informations générales 1'!$C$14</f>
        <v>0.75</v>
      </c>
      <c r="E38" s="360">
        <f t="shared" si="0"/>
        <v>0</v>
      </c>
      <c r="F38" s="360">
        <f t="shared" si="1"/>
        <v>0</v>
      </c>
    </row>
    <row r="39" spans="2:6" x14ac:dyDescent="0.25">
      <c r="B39" s="269" t="s">
        <v>102</v>
      </c>
      <c r="C39" s="359">
        <f>REVEX!D220</f>
        <v>0</v>
      </c>
      <c r="D39" s="403">
        <f>'Informations générales 1'!$C$14</f>
        <v>0.75</v>
      </c>
      <c r="E39" s="360">
        <f t="shared" si="0"/>
        <v>0</v>
      </c>
      <c r="F39" s="360">
        <f t="shared" si="1"/>
        <v>0</v>
      </c>
    </row>
    <row r="40" spans="2:6" x14ac:dyDescent="0.25">
      <c r="B40" s="269" t="s">
        <v>103</v>
      </c>
      <c r="C40" s="359">
        <f>REVEX!D221</f>
        <v>0</v>
      </c>
      <c r="D40" s="403">
        <f>'Informations générales 1'!$C$14</f>
        <v>0.75</v>
      </c>
      <c r="E40" s="360">
        <f t="shared" si="0"/>
        <v>0</v>
      </c>
      <c r="F40" s="360">
        <f t="shared" si="1"/>
        <v>0</v>
      </c>
    </row>
    <row r="41" spans="2:6" ht="15.75" thickBot="1" x14ac:dyDescent="0.3">
      <c r="B41" s="270" t="s">
        <v>104</v>
      </c>
      <c r="C41" s="361">
        <f>REVEX!D222</f>
        <v>0</v>
      </c>
      <c r="D41" s="404">
        <f>'Informations générales 1'!$C$14</f>
        <v>0.75</v>
      </c>
      <c r="E41" s="362">
        <f t="shared" si="0"/>
        <v>0</v>
      </c>
      <c r="F41" s="362">
        <f t="shared" si="1"/>
        <v>0</v>
      </c>
    </row>
    <row r="42" spans="2:6" s="11" customFormat="1" ht="24.75" customHeight="1" thickBot="1" x14ac:dyDescent="0.3">
      <c r="B42" s="267" t="s">
        <v>400</v>
      </c>
      <c r="C42" s="355">
        <f>SUM(C43:C45)</f>
        <v>0</v>
      </c>
      <c r="D42" s="401">
        <f>'Informations générales 1'!$C$14</f>
        <v>0.75</v>
      </c>
      <c r="E42" s="356">
        <f t="shared" ref="E42:F42" si="4">SUM(E43:E45)</f>
        <v>0</v>
      </c>
      <c r="F42" s="356">
        <f t="shared" si="4"/>
        <v>0</v>
      </c>
    </row>
    <row r="43" spans="2:6" x14ac:dyDescent="0.25">
      <c r="B43" s="268" t="s">
        <v>105</v>
      </c>
      <c r="C43" s="357">
        <f>REVEX!D223</f>
        <v>0</v>
      </c>
      <c r="D43" s="402">
        <f>'Informations générales 1'!$C$14</f>
        <v>0.75</v>
      </c>
      <c r="E43" s="358">
        <f t="shared" si="0"/>
        <v>0</v>
      </c>
      <c r="F43" s="358">
        <f t="shared" si="1"/>
        <v>0</v>
      </c>
    </row>
    <row r="44" spans="2:6" ht="15.75" thickBot="1" x14ac:dyDescent="0.3">
      <c r="B44" s="269" t="s">
        <v>106</v>
      </c>
      <c r="C44" s="359">
        <f>REVEX!D224</f>
        <v>0</v>
      </c>
      <c r="D44" s="403">
        <f>'Informations générales 1'!$C$14</f>
        <v>0.75</v>
      </c>
      <c r="E44" s="360">
        <f t="shared" si="0"/>
        <v>0</v>
      </c>
      <c r="F44" s="360">
        <f t="shared" si="1"/>
        <v>0</v>
      </c>
    </row>
    <row r="45" spans="2:6" ht="15.75" hidden="1" thickBot="1" x14ac:dyDescent="0.3">
      <c r="B45" s="271" t="s">
        <v>395</v>
      </c>
      <c r="C45" s="359">
        <f>-REVEX!C80</f>
        <v>0</v>
      </c>
      <c r="D45" s="403">
        <f>'Informations générales 1'!$C$14</f>
        <v>0.75</v>
      </c>
      <c r="E45" s="360">
        <f t="shared" si="0"/>
        <v>0</v>
      </c>
      <c r="F45" s="360">
        <f t="shared" si="1"/>
        <v>0</v>
      </c>
    </row>
    <row r="46" spans="2:6" s="11" customFormat="1" ht="24.75" customHeight="1" thickBot="1" x14ac:dyDescent="0.3">
      <c r="B46" s="267" t="s">
        <v>401</v>
      </c>
      <c r="C46" s="355">
        <f>SUM(C47:C49)</f>
        <v>0</v>
      </c>
      <c r="D46" s="401">
        <f>'Informations générales 1'!$C$14</f>
        <v>0.75</v>
      </c>
      <c r="E46" s="356">
        <f t="shared" ref="E46:F46" si="5">SUM(E47:E49)</f>
        <v>0</v>
      </c>
      <c r="F46" s="356">
        <f t="shared" si="5"/>
        <v>0</v>
      </c>
    </row>
    <row r="47" spans="2:6" x14ac:dyDescent="0.25">
      <c r="B47" s="268" t="s">
        <v>107</v>
      </c>
      <c r="C47" s="357">
        <f>REVEX!D225</f>
        <v>0</v>
      </c>
      <c r="D47" s="402">
        <f>'Informations générales 1'!$C$14</f>
        <v>0.75</v>
      </c>
      <c r="E47" s="358">
        <f t="shared" si="0"/>
        <v>0</v>
      </c>
      <c r="F47" s="358">
        <f t="shared" si="1"/>
        <v>0</v>
      </c>
    </row>
    <row r="48" spans="2:6" ht="15.75" thickBot="1" x14ac:dyDescent="0.3">
      <c r="B48" s="269" t="s">
        <v>108</v>
      </c>
      <c r="C48" s="359">
        <f>REVEX!D226</f>
        <v>0</v>
      </c>
      <c r="D48" s="403">
        <f>'Informations générales 1'!$C$14</f>
        <v>0.75</v>
      </c>
      <c r="E48" s="360">
        <f t="shared" si="0"/>
        <v>0</v>
      </c>
      <c r="F48" s="360">
        <f t="shared" si="1"/>
        <v>0</v>
      </c>
    </row>
    <row r="49" spans="2:6" ht="15.75" hidden="1" thickBot="1" x14ac:dyDescent="0.3">
      <c r="B49" s="271" t="s">
        <v>395</v>
      </c>
      <c r="C49" s="359">
        <f>-REVEX!C81</f>
        <v>0</v>
      </c>
      <c r="D49" s="403">
        <f>'Informations générales 1'!$C$14</f>
        <v>0.75</v>
      </c>
      <c r="E49" s="360">
        <f t="shared" si="0"/>
        <v>0</v>
      </c>
      <c r="F49" s="360">
        <f t="shared" si="1"/>
        <v>0</v>
      </c>
    </row>
    <row r="50" spans="2:6" s="11" customFormat="1" ht="24.75" customHeight="1" thickBot="1" x14ac:dyDescent="0.3">
      <c r="B50" s="267" t="s">
        <v>109</v>
      </c>
      <c r="C50" s="355">
        <f>SUM(C51:C52)</f>
        <v>0</v>
      </c>
      <c r="D50" s="401">
        <f>'Informations générales 1'!$C$14</f>
        <v>0.75</v>
      </c>
      <c r="E50" s="356">
        <f t="shared" ref="E50:F50" si="6">SUM(E51:E52)</f>
        <v>0</v>
      </c>
      <c r="F50" s="356">
        <f t="shared" si="6"/>
        <v>0</v>
      </c>
    </row>
    <row r="51" spans="2:6" s="11" customFormat="1" x14ac:dyDescent="0.25">
      <c r="B51" s="268" t="s">
        <v>109</v>
      </c>
      <c r="C51" s="357">
        <f>REVEX!D227</f>
        <v>0</v>
      </c>
      <c r="D51" s="402">
        <f>'Informations générales 1'!$C$14</f>
        <v>0.75</v>
      </c>
      <c r="E51" s="358">
        <f t="shared" si="0"/>
        <v>0</v>
      </c>
      <c r="F51" s="358">
        <f t="shared" si="1"/>
        <v>0</v>
      </c>
    </row>
    <row r="52" spans="2:6" s="11" customFormat="1" hidden="1" x14ac:dyDescent="0.25">
      <c r="B52" s="271" t="s">
        <v>395</v>
      </c>
      <c r="C52" s="359">
        <f>-REVEX!C82</f>
        <v>0</v>
      </c>
      <c r="D52" s="403"/>
      <c r="E52" s="360">
        <f t="shared" ref="E52:E55" si="7">C52-D52</f>
        <v>0</v>
      </c>
      <c r="F52" s="360">
        <f t="shared" ref="F52:F58" si="8">(1-D52)*E52</f>
        <v>0</v>
      </c>
    </row>
    <row r="53" spans="2:6" s="11" customFormat="1" ht="24.75" hidden="1" customHeight="1" thickBot="1" x14ac:dyDescent="0.3">
      <c r="B53" s="273" t="s">
        <v>395</v>
      </c>
      <c r="C53" s="363">
        <f>SUM(C54:C55)</f>
        <v>0</v>
      </c>
      <c r="D53" s="405"/>
      <c r="E53" s="364">
        <f t="shared" si="7"/>
        <v>0</v>
      </c>
      <c r="F53" s="364">
        <f t="shared" si="8"/>
        <v>0</v>
      </c>
    </row>
    <row r="54" spans="2:6" s="11" customFormat="1" hidden="1" x14ac:dyDescent="0.25">
      <c r="B54" s="268" t="s">
        <v>398</v>
      </c>
      <c r="C54" s="357">
        <f>-REVEX!C78</f>
        <v>0</v>
      </c>
      <c r="D54" s="402"/>
      <c r="E54" s="358">
        <f t="shared" si="7"/>
        <v>0</v>
      </c>
      <c r="F54" s="358">
        <f t="shared" si="8"/>
        <v>0</v>
      </c>
    </row>
    <row r="55" spans="2:6" s="11" customFormat="1" ht="15.75" hidden="1" thickBot="1" x14ac:dyDescent="0.3">
      <c r="B55" s="270" t="s">
        <v>200</v>
      </c>
      <c r="C55" s="361">
        <f>-REVEX!C85</f>
        <v>0</v>
      </c>
      <c r="D55" s="404"/>
      <c r="E55" s="362">
        <f t="shared" si="7"/>
        <v>0</v>
      </c>
      <c r="F55" s="362">
        <f t="shared" si="8"/>
        <v>0</v>
      </c>
    </row>
    <row r="56" spans="2:6" s="11" customFormat="1" ht="15" hidden="1" customHeight="1" thickBot="1" x14ac:dyDescent="0.3">
      <c r="B56" s="272"/>
      <c r="C56" s="365" t="s">
        <v>477</v>
      </c>
      <c r="D56" s="392" t="s">
        <v>478</v>
      </c>
      <c r="E56" s="365" t="s">
        <v>479</v>
      </c>
      <c r="F56" s="365" t="e">
        <f t="shared" si="8"/>
        <v>#VALUE!</v>
      </c>
    </row>
    <row r="57" spans="2:6" ht="25.5" hidden="1" customHeight="1" thickBot="1" x14ac:dyDescent="0.3">
      <c r="B57" s="273" t="s">
        <v>110</v>
      </c>
      <c r="C57" s="363">
        <f>SUM(C58,C61,C62)</f>
        <v>0</v>
      </c>
      <c r="D57" s="405">
        <f>SUM(D58,D61)</f>
        <v>0</v>
      </c>
      <c r="E57" s="364">
        <f>SUM(E58,E61,E62)</f>
        <v>0</v>
      </c>
      <c r="F57" s="364">
        <f t="shared" si="8"/>
        <v>0</v>
      </c>
    </row>
    <row r="58" spans="2:6" ht="25.5" hidden="1" customHeight="1" x14ac:dyDescent="0.25">
      <c r="B58" s="274" t="s">
        <v>517</v>
      </c>
      <c r="C58" s="366">
        <f>REVEX!C61</f>
        <v>0</v>
      </c>
      <c r="D58" s="406">
        <f>REVEX!C107</f>
        <v>0</v>
      </c>
      <c r="E58" s="367">
        <f t="shared" ref="E58:F62" si="9">C58-D58</f>
        <v>0</v>
      </c>
      <c r="F58" s="367">
        <f t="shared" si="8"/>
        <v>0</v>
      </c>
    </row>
    <row r="59" spans="2:6" ht="25.5" hidden="1" customHeight="1" x14ac:dyDescent="0.25">
      <c r="B59" s="347" t="s">
        <v>498</v>
      </c>
      <c r="C59" s="348" t="s">
        <v>461</v>
      </c>
      <c r="D59" s="407" t="s">
        <v>462</v>
      </c>
      <c r="E59" s="349"/>
      <c r="F59" s="349"/>
    </row>
    <row r="60" spans="2:6" ht="25.5" hidden="1" customHeight="1" x14ac:dyDescent="0.25">
      <c r="B60" s="387">
        <f>REVEX!H71</f>
        <v>0</v>
      </c>
      <c r="C60" s="388">
        <f>REVEX!H72</f>
        <v>0</v>
      </c>
      <c r="D60" s="408">
        <f>REVEX!H73</f>
        <v>0</v>
      </c>
      <c r="E60" s="349"/>
      <c r="F60" s="349"/>
    </row>
    <row r="61" spans="2:6" ht="25.5" hidden="1" customHeight="1" x14ac:dyDescent="0.25">
      <c r="B61" s="275" t="s">
        <v>518</v>
      </c>
      <c r="C61" s="368">
        <f>REVEX!E61+REVEX!F61</f>
        <v>0</v>
      </c>
      <c r="D61" s="409">
        <f>REVEX!E109+REVEX!F107</f>
        <v>0</v>
      </c>
      <c r="E61" s="369">
        <f t="shared" si="9"/>
        <v>0</v>
      </c>
      <c r="F61" s="369">
        <f t="shared" si="9"/>
        <v>0</v>
      </c>
    </row>
    <row r="62" spans="2:6" ht="25.5" hidden="1" customHeight="1" thickBot="1" x14ac:dyDescent="0.3">
      <c r="B62" s="276" t="s">
        <v>395</v>
      </c>
      <c r="C62" s="370">
        <f>-REVEX!C83</f>
        <v>0</v>
      </c>
      <c r="D62" s="410"/>
      <c r="E62" s="371">
        <f t="shared" si="9"/>
        <v>0</v>
      </c>
      <c r="F62" s="371">
        <f t="shared" si="9"/>
        <v>0</v>
      </c>
    </row>
    <row r="63" spans="2:6" ht="15.75" thickBot="1" x14ac:dyDescent="0.3"/>
    <row r="64" spans="2:6" ht="39" customHeight="1" thickBot="1" x14ac:dyDescent="0.3">
      <c r="B64" s="277" t="s">
        <v>486</v>
      </c>
      <c r="C64" s="279"/>
      <c r="D64" s="279"/>
      <c r="E64" s="420">
        <f>E24+E25+E26</f>
        <v>0</v>
      </c>
      <c r="F64" s="420">
        <f>F24+F25+F26</f>
        <v>0</v>
      </c>
    </row>
    <row r="66" spans="2:6" ht="15.75" hidden="1" thickBot="1" x14ac:dyDescent="0.3">
      <c r="B66" s="281"/>
      <c r="C66" s="282" t="s">
        <v>471</v>
      </c>
      <c r="D66" s="411"/>
      <c r="E66" s="283" t="s">
        <v>487</v>
      </c>
      <c r="F66" s="283" t="s">
        <v>487</v>
      </c>
    </row>
    <row r="67" spans="2:6" hidden="1" x14ac:dyDescent="0.25">
      <c r="B67" s="83" t="s">
        <v>488</v>
      </c>
      <c r="C67" s="284">
        <f>REVEX!K27</f>
        <v>0</v>
      </c>
      <c r="D67" s="412"/>
      <c r="E67" s="285">
        <f>C67*0.71</f>
        <v>0</v>
      </c>
      <c r="F67" s="285">
        <f>D67*0.71</f>
        <v>0</v>
      </c>
    </row>
    <row r="68" spans="2:6" hidden="1" x14ac:dyDescent="0.25">
      <c r="B68" s="83" t="s">
        <v>489</v>
      </c>
      <c r="C68" s="284">
        <f>REVEX!K28</f>
        <v>0</v>
      </c>
      <c r="D68" s="412"/>
      <c r="E68" s="285">
        <f>C68*6</f>
        <v>0</v>
      </c>
      <c r="F68" s="285">
        <f>D68*6</f>
        <v>0</v>
      </c>
    </row>
    <row r="69" spans="2:6" ht="15.75" hidden="1" thickBot="1" x14ac:dyDescent="0.3">
      <c r="B69" s="286" t="s">
        <v>490</v>
      </c>
      <c r="C69" s="287"/>
      <c r="D69" s="413"/>
      <c r="E69" s="288">
        <f>SUM(E67:E68)</f>
        <v>0</v>
      </c>
      <c r="F69" s="288">
        <f>SUM(F67:F68)</f>
        <v>0</v>
      </c>
    </row>
    <row r="71" spans="2:6" ht="16.5" hidden="1" thickBot="1" x14ac:dyDescent="0.3">
      <c r="B71" s="289" t="s">
        <v>495</v>
      </c>
      <c r="C71" s="290" t="s">
        <v>496</v>
      </c>
      <c r="D71" s="414" t="s">
        <v>497</v>
      </c>
      <c r="E71" s="291" t="s">
        <v>303</v>
      </c>
      <c r="F71" s="291" t="s">
        <v>303</v>
      </c>
    </row>
    <row r="72" spans="2:6" ht="15.75" hidden="1" x14ac:dyDescent="0.25">
      <c r="B72" s="292" t="str">
        <f>"MENJE "&amp;'Informations générales 1'!C14*100 &amp;"%"</f>
        <v>MENJE 75%</v>
      </c>
      <c r="C72" s="372">
        <f>C64-C73</f>
        <v>0</v>
      </c>
      <c r="D72" s="415">
        <f>REVEX!C77</f>
        <v>0</v>
      </c>
      <c r="E72" s="373">
        <f>C72-D72</f>
        <v>0</v>
      </c>
      <c r="F72" s="373">
        <f>D72-E72</f>
        <v>0</v>
      </c>
    </row>
    <row r="73" spans="2:6" ht="16.5" hidden="1" thickBot="1" x14ac:dyDescent="0.3">
      <c r="B73" s="293" t="str">
        <f>"Commune "&amp;(1-'Informations générales 1'!C14)*100&amp;"%"</f>
        <v>Commune 25%</v>
      </c>
      <c r="C73" s="374">
        <f>(C64-E69)*(1-REVEX!E13)</f>
        <v>0</v>
      </c>
      <c r="D73" s="416">
        <f>REVEX!C79</f>
        <v>0</v>
      </c>
      <c r="E73" s="375">
        <f>C73-D73</f>
        <v>0</v>
      </c>
      <c r="F73" s="375">
        <f>D73-E73</f>
        <v>0</v>
      </c>
    </row>
    <row r="75" spans="2:6" hidden="1" x14ac:dyDescent="0.25">
      <c r="B75" s="294" t="s">
        <v>499</v>
      </c>
      <c r="C75" s="295"/>
    </row>
    <row r="76" spans="2:6" ht="15.75" hidden="1" thickBot="1" x14ac:dyDescent="0.3">
      <c r="B76" s="296" t="s">
        <v>500</v>
      </c>
      <c r="C76" s="376">
        <f>BPI!F13</f>
        <v>0</v>
      </c>
    </row>
    <row r="77" spans="2:6" x14ac:dyDescent="0.25">
      <c r="B77" s="297"/>
      <c r="C77" s="298"/>
    </row>
    <row r="78" spans="2:6" x14ac:dyDescent="0.25">
      <c r="B78" s="299"/>
      <c r="C78" s="300"/>
      <c r="D78" s="417"/>
      <c r="E78" s="301"/>
      <c r="F78" s="301"/>
    </row>
    <row r="79" spans="2:6" ht="15.75" x14ac:dyDescent="0.25">
      <c r="B79" s="302" t="s">
        <v>491</v>
      </c>
      <c r="C79" s="733">
        <f ca="1">TODAY()</f>
        <v>45691</v>
      </c>
      <c r="D79" s="733"/>
      <c r="E79" s="303"/>
      <c r="F79" s="303"/>
    </row>
    <row r="80" spans="2:6" ht="15.75" x14ac:dyDescent="0.25">
      <c r="B80" s="302"/>
      <c r="C80" s="304"/>
      <c r="D80" s="418"/>
      <c r="E80" s="303"/>
      <c r="F80" s="303"/>
    </row>
    <row r="81" spans="2:6" ht="15.75" x14ac:dyDescent="0.25">
      <c r="B81" s="302"/>
      <c r="C81" s="304"/>
      <c r="D81" s="418"/>
      <c r="E81" s="303"/>
      <c r="F81" s="303"/>
    </row>
    <row r="82" spans="2:6" ht="15.75" x14ac:dyDescent="0.25">
      <c r="B82" s="302" t="s">
        <v>492</v>
      </c>
      <c r="C82" s="305"/>
      <c r="D82" s="419"/>
      <c r="E82" s="303"/>
      <c r="F82" s="303"/>
    </row>
    <row r="83" spans="2:6" ht="15.75" x14ac:dyDescent="0.25">
      <c r="B83" s="302"/>
      <c r="C83" s="736" t="s">
        <v>493</v>
      </c>
      <c r="D83" s="736"/>
      <c r="E83" s="303"/>
      <c r="F83" s="303"/>
    </row>
    <row r="84" spans="2:6" ht="15.75" x14ac:dyDescent="0.25">
      <c r="B84" s="302"/>
      <c r="C84" s="304"/>
      <c r="D84" s="418"/>
      <c r="E84" s="303"/>
      <c r="F84" s="303"/>
    </row>
    <row r="85" spans="2:6" ht="15.75" x14ac:dyDescent="0.25">
      <c r="B85" s="302"/>
      <c r="C85" s="304"/>
      <c r="D85" s="418"/>
      <c r="E85" s="303"/>
      <c r="F85" s="303"/>
    </row>
    <row r="86" spans="2:6" ht="15.75" x14ac:dyDescent="0.25">
      <c r="B86" s="302" t="s">
        <v>494</v>
      </c>
      <c r="C86" s="305"/>
      <c r="D86" s="419"/>
      <c r="E86" s="303"/>
      <c r="F86" s="303"/>
    </row>
    <row r="87" spans="2:6" ht="15.75" x14ac:dyDescent="0.25">
      <c r="B87" s="306"/>
      <c r="C87" s="305"/>
      <c r="D87" s="419"/>
      <c r="E87" s="307"/>
      <c r="F87" s="307"/>
    </row>
  </sheetData>
  <sheetProtection selectLockedCells="1"/>
  <mergeCells count="2">
    <mergeCell ref="C79:D79"/>
    <mergeCell ref="C83:D83"/>
  </mergeCells>
  <conditionalFormatting sqref="D12">
    <cfRule type="cellIs" dxfId="105" priority="1" operator="lessThan">
      <formula>0.75</formula>
    </cfRule>
  </conditionalFormatting>
  <pageMargins left="0.7" right="0.7" top="0.75" bottom="0.75" header="0.3" footer="0.3"/>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AQ175"/>
  <sheetViews>
    <sheetView topLeftCell="A75" workbookViewId="0">
      <selection activeCell="I80" sqref="I80:I83"/>
    </sheetView>
  </sheetViews>
  <sheetFormatPr defaultRowHeight="15" x14ac:dyDescent="0.25"/>
  <cols>
    <col min="1" max="1" width="32.5703125" bestFit="1" customWidth="1"/>
    <col min="2" max="2" width="13.5703125" bestFit="1" customWidth="1"/>
    <col min="3" max="3" width="17.5703125" bestFit="1" customWidth="1"/>
    <col min="4" max="4" width="14.85546875" bestFit="1" customWidth="1"/>
    <col min="5" max="5" width="34.85546875" bestFit="1" customWidth="1"/>
    <col min="6" max="6" width="20.42578125" bestFit="1" customWidth="1"/>
    <col min="7" max="8" width="43" bestFit="1" customWidth="1"/>
    <col min="9" max="9" width="130.85546875" bestFit="1" customWidth="1"/>
    <col min="10" max="10" width="39.7109375" bestFit="1" customWidth="1"/>
    <col min="11" max="11" width="75.42578125" bestFit="1" customWidth="1"/>
    <col min="12" max="12" width="18.42578125" bestFit="1" customWidth="1"/>
    <col min="13" max="13" width="38.5703125" bestFit="1" customWidth="1"/>
    <col min="15" max="15" width="38.5703125" bestFit="1" customWidth="1"/>
    <col min="16" max="16" width="11.42578125" bestFit="1" customWidth="1"/>
    <col min="17" max="17" width="14" bestFit="1" customWidth="1"/>
    <col min="18" max="18" width="17.28515625" bestFit="1" customWidth="1"/>
    <col min="20" max="20" width="38.5703125" bestFit="1" customWidth="1"/>
    <col min="21" max="21" width="13.28515625" bestFit="1" customWidth="1"/>
    <col min="23" max="23" width="45.140625" bestFit="1" customWidth="1"/>
    <col min="24" max="24" width="38.5703125" bestFit="1" customWidth="1"/>
    <col min="25" max="25" width="18.5703125" customWidth="1"/>
    <col min="26" max="26" width="35.140625" customWidth="1"/>
    <col min="27" max="27" width="36.7109375" bestFit="1" customWidth="1"/>
    <col min="28" max="28" width="45.140625" bestFit="1" customWidth="1"/>
    <col min="29" max="29" width="46.42578125" bestFit="1" customWidth="1"/>
    <col min="30" max="30" width="43.7109375" bestFit="1" customWidth="1"/>
    <col min="31" max="31" width="3.7109375" bestFit="1" customWidth="1"/>
    <col min="32" max="32" width="77.85546875" bestFit="1" customWidth="1"/>
    <col min="33" max="33" width="73.42578125" bestFit="1" customWidth="1"/>
    <col min="34" max="34" width="69.85546875" bestFit="1" customWidth="1"/>
    <col min="38" max="38" width="12.42578125" customWidth="1"/>
  </cols>
  <sheetData>
    <row r="1" spans="1:43" s="479" customFormat="1" ht="30" customHeight="1" x14ac:dyDescent="0.25">
      <c r="A1" s="479" t="s">
        <v>112</v>
      </c>
      <c r="B1" s="480" t="s">
        <v>113</v>
      </c>
      <c r="C1" s="479" t="s">
        <v>114</v>
      </c>
      <c r="D1" s="479" t="s">
        <v>115</v>
      </c>
      <c r="E1" s="479" t="s">
        <v>116</v>
      </c>
      <c r="F1" s="479" t="s">
        <v>117</v>
      </c>
      <c r="G1" s="479" t="s">
        <v>118</v>
      </c>
      <c r="H1" s="479" t="s">
        <v>564</v>
      </c>
      <c r="I1" s="479" t="s">
        <v>253</v>
      </c>
      <c r="J1" s="479" t="s">
        <v>348</v>
      </c>
      <c r="K1" s="479" t="s">
        <v>350</v>
      </c>
      <c r="L1" s="479" t="s">
        <v>393</v>
      </c>
      <c r="M1" s="479" t="s">
        <v>396</v>
      </c>
      <c r="O1" s="481" t="s">
        <v>254</v>
      </c>
      <c r="P1" s="481" t="s">
        <v>119</v>
      </c>
      <c r="Q1" s="481" t="s">
        <v>120</v>
      </c>
      <c r="R1" s="481" t="s">
        <v>121</v>
      </c>
      <c r="T1" s="479" t="s">
        <v>254</v>
      </c>
      <c r="U1" s="479" t="s">
        <v>395</v>
      </c>
      <c r="W1" s="479" t="s">
        <v>591</v>
      </c>
      <c r="X1" s="479" t="s">
        <v>592</v>
      </c>
      <c r="Y1" s="479" t="s">
        <v>119</v>
      </c>
      <c r="Z1" s="479" t="s">
        <v>660</v>
      </c>
      <c r="AA1" s="479" t="s">
        <v>661</v>
      </c>
      <c r="AB1" s="479" t="s">
        <v>658</v>
      </c>
      <c r="AC1" s="479" t="s">
        <v>659</v>
      </c>
      <c r="AF1" s="482" t="s">
        <v>313</v>
      </c>
      <c r="AG1" s="483">
        <f>SUM(Overhead616[Frais directement liés à l''activité - Encadrement])</f>
        <v>0</v>
      </c>
      <c r="AH1" s="483">
        <f>SUM(Overhead616[Frais directement liés à l''activité - Logistique])</f>
        <v>0</v>
      </c>
      <c r="AI1" s="483">
        <f>SUM(Overhead616[Frais indirectement liés à l''activité - Prévues par la loi ])</f>
        <v>0</v>
      </c>
      <c r="AJ1" s="483">
        <f>SUM(Overhead616[Frais indirectement liés à l''activité - Autres fonctions - Administration / Logistique])</f>
        <v>0</v>
      </c>
      <c r="AK1" s="483">
        <f>SUM(Overhead616[Frais indirectement liés à l''activité - Autres fonctions - Chargé(e) de direction])</f>
        <v>0</v>
      </c>
      <c r="AL1" s="483">
        <f>SUM(Overhead616[Frais indirectement liés à l''activité - Autres fonctions - Direction générale])</f>
        <v>0</v>
      </c>
      <c r="AP1" s="549" t="str">
        <f>"DELTA "&amp;'Informations générales 1'!$C$10</f>
        <v>DELTA 2024</v>
      </c>
      <c r="AQ1" s="550">
        <v>0.75</v>
      </c>
    </row>
    <row r="2" spans="1:43" x14ac:dyDescent="0.25">
      <c r="A2" t="s">
        <v>1</v>
      </c>
      <c r="B2" s="1">
        <v>0.75</v>
      </c>
      <c r="C2" t="s">
        <v>29</v>
      </c>
      <c r="D2" t="s">
        <v>35</v>
      </c>
      <c r="E2" t="s">
        <v>566</v>
      </c>
      <c r="F2" t="s">
        <v>33</v>
      </c>
      <c r="I2" t="s">
        <v>256</v>
      </c>
      <c r="J2" t="s">
        <v>316</v>
      </c>
      <c r="K2" t="s">
        <v>351</v>
      </c>
      <c r="M2" t="s">
        <v>397</v>
      </c>
      <c r="O2" s="476" t="s">
        <v>93</v>
      </c>
      <c r="P2" s="477">
        <f>SUMIF(Fonctionnement[Allocation],O2,Fonctionnement[Montant])</f>
        <v>0</v>
      </c>
      <c r="Q2" s="477">
        <f>SUMIF(CCTSAS[Allocation fonctions],VariablesInternes[[#This Row],[Fonction]],CCTSAS[Total éligible])</f>
        <v>0</v>
      </c>
      <c r="R2" s="477">
        <f>SUMIF(SalCommune[Allocations fonctions],VariablesInternes[[#This Row],[Fonction]],SalCommune[Total éligible])</f>
        <v>0</v>
      </c>
      <c r="T2" t="s">
        <v>397</v>
      </c>
      <c r="U2" s="50">
        <f>SUMIF(Recettes[Allocation],RecettesInterne[[#This Row],[Fonction]],Recettes[Montant])</f>
        <v>0</v>
      </c>
      <c r="W2" t="s">
        <v>569</v>
      </c>
      <c r="X2" t="s">
        <v>93</v>
      </c>
      <c r="Y2" s="50">
        <f>SUMIF(Fonctionnement[Allocation],W2,Fonctionnement[Montant])</f>
        <v>0</v>
      </c>
      <c r="Z2" s="50">
        <f>SUMIF(CCTSAS[Allocation fonctions],VariablesInternesCOVID[[#This Row],[Fonction FP]],CCTSAS[[Frais Personnel supplémentaire Crise Ukrainienne ]])</f>
        <v>0</v>
      </c>
      <c r="AA2" s="50">
        <f>SUMIF(CCTSAS[Allocation fonctions],VariablesInternesCOVID[[#This Row],[Fonction FP]],CCTSAS[Frais de personnel supplémentaire COVID-19])</f>
        <v>0</v>
      </c>
      <c r="AB2" s="50">
        <f>SUMIF(SalCommune[Allocations fonctions],VariablesInternesCOVID[[#This Row],[Fonction FP]],SalCommune[Frais de personnel supplémentaire Crise Ukrainienne])</f>
        <v>0</v>
      </c>
      <c r="AC2" s="50">
        <f>SUMIF(SalCommune[Allocations fonctions],VariablesInternesCOVID[[#This Row],[Fonction FP]],SalCommune[Frais de personnel supplémentaire COVID-19])</f>
        <v>0</v>
      </c>
      <c r="AF2" s="68" t="s">
        <v>392</v>
      </c>
      <c r="AG2" s="76">
        <f>Overhead616[[#Totals],[Frais directement liés à l''activité - Encadrement]]</f>
        <v>0</v>
      </c>
      <c r="AH2" s="76">
        <f>Overhead616[[#Totals],[Frais directement liés à l''activité - Logistique]]</f>
        <v>0</v>
      </c>
      <c r="AI2" s="76">
        <f>Overhead616[[#Totals],[Frais indirectement liés à l''activité - Prévues par la loi ]]</f>
        <v>0</v>
      </c>
      <c r="AJ2" s="76">
        <f>Overhead616[[#Totals],[Frais indirectement liés à l''activité - Autres fonctions - Administration / Logistique]]</f>
        <v>0</v>
      </c>
      <c r="AK2" s="76">
        <f>Overhead616[[#Totals],[Frais indirectement liés à l''activité - Autres fonctions - Chargé(e) de direction]]</f>
        <v>0</v>
      </c>
      <c r="AL2" s="76">
        <f>Overhead616[[#Totals],[Frais indirectement liés à l''activité - Autres fonctions - Direction générale]]</f>
        <v>0</v>
      </c>
    </row>
    <row r="3" spans="1:43" ht="15.75" thickBot="1" x14ac:dyDescent="0.3">
      <c r="A3" t="s">
        <v>2</v>
      </c>
      <c r="B3" s="1">
        <v>1</v>
      </c>
      <c r="C3" t="s">
        <v>30</v>
      </c>
      <c r="D3" t="s">
        <v>36</v>
      </c>
      <c r="E3" t="s">
        <v>76</v>
      </c>
      <c r="F3" t="s">
        <v>73</v>
      </c>
      <c r="G3" t="s">
        <v>93</v>
      </c>
      <c r="H3" t="s">
        <v>93</v>
      </c>
      <c r="I3" t="s">
        <v>257</v>
      </c>
      <c r="J3" t="s">
        <v>317</v>
      </c>
      <c r="K3" t="s">
        <v>352</v>
      </c>
      <c r="L3" t="s">
        <v>394</v>
      </c>
      <c r="M3" t="s">
        <v>398</v>
      </c>
      <c r="O3" s="476" t="s">
        <v>94</v>
      </c>
      <c r="P3" s="477">
        <f>SUMIF(Fonctionnement[Allocation],O3,Fonctionnement[Montant])</f>
        <v>0</v>
      </c>
      <c r="Q3" s="477">
        <f>SUMIF(CCTSAS[Allocation fonctions],VariablesInternes[[#This Row],[Fonction]],CCTSAS[Total éligible])</f>
        <v>0</v>
      </c>
      <c r="R3" s="477">
        <f>SUMIF(SalCommune[Allocations fonctions],VariablesInternes[[#This Row],[Fonction]],SalCommune[Total éligible])</f>
        <v>0</v>
      </c>
      <c r="T3" t="s">
        <v>663</v>
      </c>
      <c r="U3" s="50">
        <f>SUMIF(Recettes[Allocation],RecettesInterne[[#This Row],[Fonction]],Recettes[Montant])</f>
        <v>0</v>
      </c>
      <c r="W3" t="s">
        <v>570</v>
      </c>
      <c r="X3" t="s">
        <v>94</v>
      </c>
      <c r="Y3" s="50">
        <f>SUMIF(Fonctionnement[Allocation],W3,Fonctionnement[Montant])</f>
        <v>0</v>
      </c>
      <c r="Z3" s="50">
        <f>SUMIF(CCTSAS[Allocation fonctions],VariablesInternesCOVID[[#This Row],[Fonction FP]],CCTSAS[[Frais Personnel supplémentaire Crise Ukrainienne ]])</f>
        <v>0</v>
      </c>
      <c r="AA3" s="50">
        <f>SUMIF(CCTSAS[Allocation fonctions],VariablesInternesCOVID[[#This Row],[Fonction FP]],CCTSAS[Frais de personnel supplémentaire COVID-19])</f>
        <v>0</v>
      </c>
      <c r="AB3" s="50">
        <f>SUMIF(SalCommune[Allocations fonctions],VariablesInternesCOVID[[#This Row],[Fonction FP]],SalCommune[Frais de personnel supplémentaire Crise Ukrainienne])</f>
        <v>0</v>
      </c>
      <c r="AC3" s="50">
        <f>SUMIF(SalCommune[Allocations fonctions],VariablesInternesCOVID[[#This Row],[Fonction FP]],SalCommune[Frais de personnel supplémentaire COVID-19])</f>
        <v>0</v>
      </c>
      <c r="AF3" s="23" t="s">
        <v>254</v>
      </c>
      <c r="AG3" s="58" t="s">
        <v>351</v>
      </c>
      <c r="AH3" s="51" t="s">
        <v>352</v>
      </c>
      <c r="AI3" s="51" t="s">
        <v>356</v>
      </c>
      <c r="AJ3" s="51" t="s">
        <v>353</v>
      </c>
      <c r="AK3" s="51" t="s">
        <v>354</v>
      </c>
      <c r="AL3" s="56" t="s">
        <v>355</v>
      </c>
    </row>
    <row r="4" spans="1:43" x14ac:dyDescent="0.25">
      <c r="C4" t="s">
        <v>72</v>
      </c>
      <c r="D4" t="s">
        <v>34</v>
      </c>
      <c r="E4" t="s">
        <v>77</v>
      </c>
      <c r="F4" t="s">
        <v>74</v>
      </c>
      <c r="G4" t="s">
        <v>94</v>
      </c>
      <c r="H4" t="s">
        <v>94</v>
      </c>
      <c r="I4" t="s">
        <v>258</v>
      </c>
      <c r="J4" t="s">
        <v>318</v>
      </c>
      <c r="K4" t="s">
        <v>356</v>
      </c>
      <c r="M4" t="s">
        <v>399</v>
      </c>
      <c r="O4" s="476" t="s">
        <v>95</v>
      </c>
      <c r="P4" s="477">
        <f>SUMIF(Fonctionnement[Allocation],O4,Fonctionnement[Montant])</f>
        <v>0</v>
      </c>
      <c r="Q4" s="477">
        <f>SUMIF(CCTSAS[Allocation fonctions],VariablesInternes[[#This Row],[Fonction]],CCTSAS[Total éligible])</f>
        <v>0</v>
      </c>
      <c r="R4" s="477">
        <f>SUMIF(SalCommune[Allocations fonctions],VariablesInternes[[#This Row],[Fonction]],SalCommune[Total éligible])</f>
        <v>0</v>
      </c>
      <c r="T4" t="s">
        <v>398</v>
      </c>
      <c r="U4" s="50">
        <f>SUMIF(Recettes[Allocation],RecettesInterne[[#This Row],[Fonction]],Recettes[Montant])</f>
        <v>0</v>
      </c>
      <c r="W4" t="s">
        <v>571</v>
      </c>
      <c r="X4" t="s">
        <v>95</v>
      </c>
      <c r="Y4" s="50">
        <f>SUMIF(Fonctionnement[Allocation],W4,Fonctionnement[Montant])</f>
        <v>0</v>
      </c>
      <c r="Z4" s="50">
        <f>SUMIF(CCTSAS[Allocation fonctions],VariablesInternesCOVID[[#This Row],[Fonction FP]],CCTSAS[[Frais Personnel supplémentaire Crise Ukrainienne ]])</f>
        <v>0</v>
      </c>
      <c r="AA4" s="50">
        <f>SUMIF(CCTSAS[Allocation fonctions],VariablesInternesCOVID[[#This Row],[Fonction FP]],CCTSAS[Frais de personnel supplémentaire COVID-19])</f>
        <v>0</v>
      </c>
      <c r="AB4" s="50">
        <f>SUMIF(SalCommune[Allocations fonctions],VariablesInternesCOVID[[#This Row],[Fonction FP]],SalCommune[Frais de personnel supplémentaire Crise Ukrainienne])</f>
        <v>0</v>
      </c>
      <c r="AC4" s="50">
        <f>SUMIF(SalCommune[Allocations fonctions],VariablesInternesCOVID[[#This Row],[Fonction FP]],SalCommune[Frais de personnel supplémentaire COVID-19])</f>
        <v>0</v>
      </c>
      <c r="AE4" s="737" t="s">
        <v>357</v>
      </c>
      <c r="AF4" s="59" t="s">
        <v>93</v>
      </c>
      <c r="AG4" s="60">
        <f>SUMIFS(Fonctionnement[Montant],Fonctionnement[Allocation],Overhead616[[#This Row],[Fonction]],Fonctionnement[Frais généraux],Overhead616[[#Headers],[Frais directement liés à l''activité - Encadrement]])</f>
        <v>0</v>
      </c>
      <c r="AH4" s="60">
        <f>SUMIFS(Fonctionnement[Montant],Fonctionnement[Allocation],Overhead616[[#This Row],[Fonction]],Fonctionnement[Frais généraux],Overhead616[[#Headers],[Frais directement liés à l''activité - Logistique]])</f>
        <v>0</v>
      </c>
      <c r="AI4" s="60">
        <f>SUMIFS(Fonctionnement[Montant],Fonctionnement[Allocation],Overhead616[[#This Row],[Fonction]],Fonctionnement[Frais généraux],Overhead616[[#Headers],[Frais indirectement liés à l''activité - Prévues par la loi ]])</f>
        <v>0</v>
      </c>
      <c r="AJ4" s="60">
        <f>SUMIFS(Fonctionnement[Montant],Fonctionnement[Allocation],Overhead616[[#This Row],[Fonction]],Fonctionnement[Frais généraux],Overhead616[[#Headers],[Frais indirectement liés à l''activité - Autres fonctions - Administration / Logistique]])</f>
        <v>0</v>
      </c>
      <c r="AK4" s="60">
        <f>SUMIFS(Fonctionnement[Montant],Fonctionnement[Allocation],Overhead616[[#This Row],[Fonction]],Fonctionnement[Frais généraux],Overhead616[[#Headers],[Frais indirectement liés à l''activité - Autres fonctions - Chargé(e) de direction]])</f>
        <v>0</v>
      </c>
      <c r="AL4" s="61">
        <f>SUMIFS(Fonctionnement[Montant],Fonctionnement[Allocation],Overhead616[[#This Row],[Fonction]],Fonctionnement[Frais généraux],Overhead616[[#Headers],[Frais indirectement liés à l''activité - Autres fonctions - Direction générale]])</f>
        <v>0</v>
      </c>
    </row>
    <row r="5" spans="1:43" x14ac:dyDescent="0.25">
      <c r="D5" t="s">
        <v>40</v>
      </c>
      <c r="F5" t="s">
        <v>75</v>
      </c>
      <c r="G5" t="s">
        <v>95</v>
      </c>
      <c r="H5" t="s">
        <v>95</v>
      </c>
      <c r="I5" t="s">
        <v>259</v>
      </c>
      <c r="J5" t="s">
        <v>319</v>
      </c>
      <c r="K5" t="s">
        <v>353</v>
      </c>
      <c r="M5" t="s">
        <v>400</v>
      </c>
      <c r="O5" s="476" t="s">
        <v>96</v>
      </c>
      <c r="P5" s="477">
        <f>SUMIF(Fonctionnement[Allocation],O5,Fonctionnement[Montant])</f>
        <v>0</v>
      </c>
      <c r="Q5" s="477">
        <f>SUMIF(CCTSAS[Allocation fonctions],VariablesInternes[[#This Row],[Fonction]],CCTSAS[Total éligible])</f>
        <v>0</v>
      </c>
      <c r="R5" s="477">
        <f>SUMIF(SalCommune[Allocations fonctions],VariablesInternes[[#This Row],[Fonction]],SalCommune[Total éligible])</f>
        <v>0</v>
      </c>
      <c r="T5" t="s">
        <v>399</v>
      </c>
      <c r="U5" s="50">
        <f>SUMIF(Recettes[Allocation],RecettesInterne[[#This Row],[Fonction]],Recettes[Montant])</f>
        <v>0</v>
      </c>
      <c r="W5" t="s">
        <v>572</v>
      </c>
      <c r="X5" t="s">
        <v>96</v>
      </c>
      <c r="Y5" s="50">
        <f>SUMIF(Fonctionnement[Allocation],W5,Fonctionnement[Montant])</f>
        <v>0</v>
      </c>
      <c r="Z5" s="50">
        <f>SUMIF(CCTSAS[Allocation fonctions],VariablesInternesCOVID[[#This Row],[Fonction FP]],CCTSAS[[Frais Personnel supplémentaire Crise Ukrainienne ]])</f>
        <v>0</v>
      </c>
      <c r="AA5" s="50">
        <f>SUMIF(CCTSAS[Allocation fonctions],VariablesInternesCOVID[[#This Row],[Fonction FP]],CCTSAS[Frais de personnel supplémentaire COVID-19])</f>
        <v>0</v>
      </c>
      <c r="AB5" s="50">
        <f>SUMIF(SalCommune[Allocations fonctions],VariablesInternesCOVID[[#This Row],[Fonction FP]],SalCommune[Frais de personnel supplémentaire Crise Ukrainienne])</f>
        <v>0</v>
      </c>
      <c r="AC5" s="50">
        <f>SUMIF(SalCommune[Allocations fonctions],VariablesInternesCOVID[[#This Row],[Fonction FP]],SalCommune[Frais de personnel supplémentaire COVID-19])</f>
        <v>0</v>
      </c>
      <c r="AE5" s="738"/>
      <c r="AF5" s="57" t="s">
        <v>94</v>
      </c>
      <c r="AG5" s="52">
        <f>SUMIFS(Fonctionnement[Montant],Fonctionnement[Allocation],Overhead616[[#This Row],[Fonction]],Fonctionnement[Frais généraux],Overhead616[[#Headers],[Frais directement liés à l''activité - Encadrement]])</f>
        <v>0</v>
      </c>
      <c r="AH5" s="52">
        <f>SUMIFS(Fonctionnement[Montant],Fonctionnement[Allocation],Overhead616[[#This Row],[Fonction]],Fonctionnement[Frais généraux],Overhead616[[#Headers],[Frais directement liés à l''activité - Logistique]])</f>
        <v>0</v>
      </c>
      <c r="AI5" s="52">
        <f>SUMIFS(Fonctionnement[Montant],Fonctionnement[Allocation],Overhead616[[#This Row],[Fonction]],Fonctionnement[Frais généraux],Overhead616[[#Headers],[Frais indirectement liés à l''activité - Prévues par la loi ]])</f>
        <v>0</v>
      </c>
      <c r="AJ5" s="52">
        <f>SUMIFS(Fonctionnement[Montant],Fonctionnement[Allocation],Overhead616[[#This Row],[Fonction]],Fonctionnement[Frais généraux],Overhead616[[#Headers],[Frais indirectement liés à l''activité - Autres fonctions - Administration / Logistique]])</f>
        <v>0</v>
      </c>
      <c r="AK5" s="52">
        <f>SUMIFS(Fonctionnement[Montant],Fonctionnement[Allocation],Overhead616[[#This Row],[Fonction]],Fonctionnement[Frais généraux],Overhead616[[#Headers],[Frais indirectement liés à l''activité - Autres fonctions - Chargé(e) de direction]])</f>
        <v>0</v>
      </c>
      <c r="AL5" s="53">
        <f>SUMIFS(Fonctionnement[Montant],Fonctionnement[Allocation],Overhead616[[#This Row],[Fonction]],Fonctionnement[Frais généraux],Overhead616[[#Headers],[Frais indirectement liés à l''activité - Autres fonctions - Direction générale]])</f>
        <v>0</v>
      </c>
    </row>
    <row r="6" spans="1:43" x14ac:dyDescent="0.25">
      <c r="A6" t="s">
        <v>600</v>
      </c>
      <c r="D6" t="s">
        <v>39</v>
      </c>
      <c r="G6" t="s">
        <v>96</v>
      </c>
      <c r="H6" t="s">
        <v>96</v>
      </c>
      <c r="I6" t="s">
        <v>260</v>
      </c>
      <c r="J6" t="s">
        <v>320</v>
      </c>
      <c r="K6" t="s">
        <v>354</v>
      </c>
      <c r="M6" t="s">
        <v>401</v>
      </c>
      <c r="O6" s="476" t="s">
        <v>97</v>
      </c>
      <c r="P6" s="477">
        <f>SUMIF(Fonctionnement[Allocation],O6,Fonctionnement[Montant])</f>
        <v>0</v>
      </c>
      <c r="Q6" s="477">
        <f>SUMIF(CCTSAS[Allocation fonctions],VariablesInternes[[#This Row],[Fonction]],CCTSAS[Total éligible])</f>
        <v>0</v>
      </c>
      <c r="R6" s="477">
        <f>SUMIF(SalCommune[Allocations fonctions],VariablesInternes[[#This Row],[Fonction]],SalCommune[Total éligible])</f>
        <v>0</v>
      </c>
      <c r="T6" t="s">
        <v>400</v>
      </c>
      <c r="U6" s="50">
        <f>SUMIF(Recettes[Allocation],RecettesInterne[[#This Row],[Fonction]],Recettes[Montant])</f>
        <v>0</v>
      </c>
      <c r="W6" t="s">
        <v>573</v>
      </c>
      <c r="X6" t="s">
        <v>97</v>
      </c>
      <c r="Y6" s="50">
        <f>SUMIF(Fonctionnement[Allocation],W6,Fonctionnement[Montant])</f>
        <v>0</v>
      </c>
      <c r="Z6" s="50">
        <f>SUMIF(CCTSAS[Allocation fonctions],VariablesInternesCOVID[[#This Row],[Fonction FP]],CCTSAS[[Frais Personnel supplémentaire Crise Ukrainienne ]])</f>
        <v>0</v>
      </c>
      <c r="AA6" s="50">
        <f>SUMIF(CCTSAS[Allocation fonctions],VariablesInternesCOVID[[#This Row],[Fonction FP]],CCTSAS[Frais de personnel supplémentaire COVID-19])</f>
        <v>0</v>
      </c>
      <c r="AB6" s="50">
        <f>SUMIF(SalCommune[Allocations fonctions],VariablesInternesCOVID[[#This Row],[Fonction FP]],SalCommune[Frais de personnel supplémentaire Crise Ukrainienne])</f>
        <v>0</v>
      </c>
      <c r="AC6" s="50">
        <f>SUMIF(SalCommune[Allocations fonctions],VariablesInternesCOVID[[#This Row],[Fonction FP]],SalCommune[Frais de personnel supplémentaire COVID-19])</f>
        <v>0</v>
      </c>
      <c r="AE6" s="738"/>
      <c r="AF6" s="57" t="s">
        <v>95</v>
      </c>
      <c r="AG6" s="52">
        <f>SUMIFS(Fonctionnement[Montant],Fonctionnement[Allocation],Overhead616[[#This Row],[Fonction]],Fonctionnement[Frais généraux],Overhead616[[#Headers],[Frais directement liés à l''activité - Encadrement]])</f>
        <v>0</v>
      </c>
      <c r="AH6" s="52">
        <f>SUMIFS(Fonctionnement[Montant],Fonctionnement[Allocation],Overhead616[[#This Row],[Fonction]],Fonctionnement[Frais généraux],Overhead616[[#Headers],[Frais directement liés à l''activité - Logistique]])</f>
        <v>0</v>
      </c>
      <c r="AI6" s="52">
        <f>SUMIFS(Fonctionnement[Montant],Fonctionnement[Allocation],Overhead616[[#This Row],[Fonction]],Fonctionnement[Frais généraux],Overhead616[[#Headers],[Frais indirectement liés à l''activité - Prévues par la loi ]])</f>
        <v>0</v>
      </c>
      <c r="AJ6" s="52">
        <f>SUMIFS(Fonctionnement[Montant],Fonctionnement[Allocation],Overhead616[[#This Row],[Fonction]],Fonctionnement[Frais généraux],Overhead616[[#Headers],[Frais indirectement liés à l''activité - Autres fonctions - Administration / Logistique]])</f>
        <v>0</v>
      </c>
      <c r="AK6" s="52">
        <f>SUMIFS(Fonctionnement[Montant],Fonctionnement[Allocation],Overhead616[[#This Row],[Fonction]],Fonctionnement[Frais généraux],Overhead616[[#Headers],[Frais indirectement liés à l''activité - Autres fonctions - Chargé(e) de direction]])</f>
        <v>0</v>
      </c>
      <c r="AL6" s="53">
        <f>SUMIFS(Fonctionnement[Montant],Fonctionnement[Allocation],Overhead616[[#This Row],[Fonction]],Fonctionnement[Frais généraux],Overhead616[[#Headers],[Frais indirectement liés à l''activité - Autres fonctions - Direction générale]])</f>
        <v>0</v>
      </c>
    </row>
    <row r="7" spans="1:43" x14ac:dyDescent="0.25">
      <c r="D7" t="s">
        <v>3</v>
      </c>
      <c r="G7" t="s">
        <v>97</v>
      </c>
      <c r="H7" t="s">
        <v>97</v>
      </c>
      <c r="I7" t="s">
        <v>261</v>
      </c>
      <c r="J7" t="s">
        <v>321</v>
      </c>
      <c r="K7" t="s">
        <v>355</v>
      </c>
      <c r="M7" t="s">
        <v>109</v>
      </c>
      <c r="O7" s="476" t="s">
        <v>111</v>
      </c>
      <c r="P7" s="477">
        <f>SUMIF(Fonctionnement[Allocation],O7,Fonctionnement[Montant])</f>
        <v>0</v>
      </c>
      <c r="Q7" s="477">
        <f>SUMIF(CCTSAS[Allocation fonctions],VariablesInternes[[#This Row],[Fonction]],CCTSAS[Total éligible])</f>
        <v>0</v>
      </c>
      <c r="R7" s="477">
        <f>SUMIF(SalCommune[Allocations fonctions],VariablesInternes[[#This Row],[Fonction]],SalCommune[Total éligible])</f>
        <v>0</v>
      </c>
      <c r="T7" t="s">
        <v>401</v>
      </c>
      <c r="U7" s="50">
        <f>SUMIF(Recettes[Allocation],RecettesInterne[[#This Row],[Fonction]],Recettes[Montant])</f>
        <v>0</v>
      </c>
      <c r="W7" t="s">
        <v>574</v>
      </c>
      <c r="X7" t="s">
        <v>111</v>
      </c>
      <c r="Y7" s="50">
        <f>SUMIF(Fonctionnement[Allocation],W7,Fonctionnement[Montant])</f>
        <v>0</v>
      </c>
      <c r="Z7" s="50">
        <f>SUMIF(CCTSAS[Allocation fonctions],VariablesInternesCOVID[[#This Row],[Fonction FP]],CCTSAS[[Frais Personnel supplémentaire Crise Ukrainienne ]])</f>
        <v>0</v>
      </c>
      <c r="AA7" s="50">
        <f>SUMIF(CCTSAS[Allocation fonctions],VariablesInternesCOVID[[#This Row],[Fonction FP]],CCTSAS[Frais de personnel supplémentaire COVID-19])</f>
        <v>0</v>
      </c>
      <c r="AB7" s="50">
        <f>SUMIF(SalCommune[Allocations fonctions],VariablesInternesCOVID[[#This Row],[Fonction FP]],SalCommune[Frais de personnel supplémentaire Crise Ukrainienne])</f>
        <v>0</v>
      </c>
      <c r="AC7" s="50">
        <f>SUMIF(SalCommune[Allocations fonctions],VariablesInternesCOVID[[#This Row],[Fonction FP]],SalCommune[Frais de personnel supplémentaire COVID-19])</f>
        <v>0</v>
      </c>
      <c r="AE7" s="738"/>
      <c r="AF7" s="57" t="s">
        <v>96</v>
      </c>
      <c r="AG7" s="52">
        <f>SUMIFS(Fonctionnement[Montant],Fonctionnement[Allocation],Overhead616[[#This Row],[Fonction]],Fonctionnement[Frais généraux],Overhead616[[#Headers],[Frais directement liés à l''activité - Encadrement]])</f>
        <v>0</v>
      </c>
      <c r="AH7" s="52">
        <f>SUMIFS(Fonctionnement[Montant],Fonctionnement[Allocation],Overhead616[[#This Row],[Fonction]],Fonctionnement[Frais généraux],Overhead616[[#Headers],[Frais directement liés à l''activité - Logistique]])</f>
        <v>0</v>
      </c>
      <c r="AI7" s="52">
        <f>SUMIFS(Fonctionnement[Montant],Fonctionnement[Allocation],Overhead616[[#This Row],[Fonction]],Fonctionnement[Frais généraux],Overhead616[[#Headers],[Frais indirectement liés à l''activité - Prévues par la loi ]])</f>
        <v>0</v>
      </c>
      <c r="AJ7" s="52">
        <f>SUMIFS(Fonctionnement[Montant],Fonctionnement[Allocation],Overhead616[[#This Row],[Fonction]],Fonctionnement[Frais généraux],Overhead616[[#Headers],[Frais indirectement liés à l''activité - Autres fonctions - Administration / Logistique]])</f>
        <v>0</v>
      </c>
      <c r="AK7" s="52">
        <f>SUMIFS(Fonctionnement[Montant],Fonctionnement[Allocation],Overhead616[[#This Row],[Fonction]],Fonctionnement[Frais généraux],Overhead616[[#Headers],[Frais indirectement liés à l''activité - Autres fonctions - Chargé(e) de direction]])</f>
        <v>0</v>
      </c>
      <c r="AL7" s="53">
        <f>SUMIFS(Fonctionnement[Montant],Fonctionnement[Allocation],Overhead616[[#This Row],[Fonction]],Fonctionnement[Frais généraux],Overhead616[[#Headers],[Frais indirectement liés à l''activité - Autres fonctions - Direction générale]])</f>
        <v>0</v>
      </c>
    </row>
    <row r="8" spans="1:43" x14ac:dyDescent="0.25">
      <c r="D8" t="s">
        <v>38</v>
      </c>
      <c r="G8" t="s">
        <v>111</v>
      </c>
      <c r="H8" t="s">
        <v>111</v>
      </c>
      <c r="I8" t="s">
        <v>262</v>
      </c>
      <c r="J8" t="s">
        <v>322</v>
      </c>
      <c r="M8" t="s">
        <v>610</v>
      </c>
      <c r="O8" s="476" t="s">
        <v>98</v>
      </c>
      <c r="P8" s="477">
        <f>SUMIF(Fonctionnement[Allocation],O8,Fonctionnement[Montant])</f>
        <v>0</v>
      </c>
      <c r="Q8" s="477">
        <f>SUMIF(CCTSAS[Allocation fonctions],VariablesInternes[[#This Row],[Fonction]],CCTSAS[Total éligible])</f>
        <v>0</v>
      </c>
      <c r="R8" s="477">
        <f>SUMIF(SalCommune[Allocations fonctions],VariablesInternes[[#This Row],[Fonction]],SalCommune[Total éligible])</f>
        <v>0</v>
      </c>
      <c r="T8" t="s">
        <v>109</v>
      </c>
      <c r="U8" s="50">
        <f>SUMIF(Recettes[Allocation],RecettesInterne[[#This Row],[Fonction]],Recettes[Montant])</f>
        <v>0</v>
      </c>
      <c r="W8" t="s">
        <v>575</v>
      </c>
      <c r="X8" t="s">
        <v>98</v>
      </c>
      <c r="Y8" s="50">
        <f>SUMIF(Fonctionnement[Allocation],W8,Fonctionnement[Montant])</f>
        <v>0</v>
      </c>
      <c r="Z8" s="50">
        <f>SUMIF(CCTSAS[Allocation fonctions],VariablesInternesCOVID[[#This Row],[Fonction FP]],CCTSAS[[Frais Personnel supplémentaire Crise Ukrainienne ]])</f>
        <v>0</v>
      </c>
      <c r="AA8" s="50">
        <f>SUMIF(CCTSAS[Allocation fonctions],VariablesInternesCOVID[[#This Row],[Fonction FP]],CCTSAS[Frais de personnel supplémentaire COVID-19])</f>
        <v>0</v>
      </c>
      <c r="AB8" s="50">
        <f>SUMIF(SalCommune[Allocations fonctions],VariablesInternesCOVID[[#This Row],[Fonction FP]],SalCommune[Frais de personnel supplémentaire Crise Ukrainienne])</f>
        <v>0</v>
      </c>
      <c r="AC8" s="50">
        <f>SUMIF(SalCommune[Allocations fonctions],VariablesInternesCOVID[[#This Row],[Fonction FP]],SalCommune[Frais de personnel supplémentaire COVID-19])</f>
        <v>0</v>
      </c>
      <c r="AE8" s="738"/>
      <c r="AF8" s="57" t="s">
        <v>97</v>
      </c>
      <c r="AG8" s="52">
        <f>SUMIFS(Fonctionnement[Montant],Fonctionnement[Allocation],Overhead616[[#This Row],[Fonction]],Fonctionnement[Frais généraux],Overhead616[[#Headers],[Frais directement liés à l''activité - Encadrement]])</f>
        <v>0</v>
      </c>
      <c r="AH8" s="52">
        <f>SUMIFS(Fonctionnement[Montant],Fonctionnement[Allocation],Overhead616[[#This Row],[Fonction]],Fonctionnement[Frais généraux],Overhead616[[#Headers],[Frais directement liés à l''activité - Logistique]])</f>
        <v>0</v>
      </c>
      <c r="AI8" s="52">
        <f>SUMIFS(Fonctionnement[Montant],Fonctionnement[Allocation],Overhead616[[#This Row],[Fonction]],Fonctionnement[Frais généraux],Overhead616[[#Headers],[Frais indirectement liés à l''activité - Prévues par la loi ]])</f>
        <v>0</v>
      </c>
      <c r="AJ8" s="52">
        <f>SUMIFS(Fonctionnement[Montant],Fonctionnement[Allocation],Overhead616[[#This Row],[Fonction]],Fonctionnement[Frais généraux],Overhead616[[#Headers],[Frais indirectement liés à l''activité - Autres fonctions - Administration / Logistique]])</f>
        <v>0</v>
      </c>
      <c r="AK8" s="52">
        <f>SUMIFS(Fonctionnement[Montant],Fonctionnement[Allocation],Overhead616[[#This Row],[Fonction]],Fonctionnement[Frais généraux],Overhead616[[#Headers],[Frais indirectement liés à l''activité - Autres fonctions - Chargé(e) de direction]])</f>
        <v>0</v>
      </c>
      <c r="AL8" s="53">
        <f>SUMIFS(Fonctionnement[Montant],Fonctionnement[Allocation],Overhead616[[#This Row],[Fonction]],Fonctionnement[Frais généraux],Overhead616[[#Headers],[Frais indirectement liés à l''activité - Autres fonctions - Direction générale]])</f>
        <v>0</v>
      </c>
    </row>
    <row r="9" spans="1:43" x14ac:dyDescent="0.25">
      <c r="D9" t="s">
        <v>37</v>
      </c>
      <c r="G9" t="s">
        <v>98</v>
      </c>
      <c r="H9" t="s">
        <v>98</v>
      </c>
      <c r="I9" t="s">
        <v>263</v>
      </c>
      <c r="J9" t="s">
        <v>323</v>
      </c>
      <c r="M9" t="s">
        <v>631</v>
      </c>
      <c r="O9" s="476" t="s">
        <v>99</v>
      </c>
      <c r="P9" s="477">
        <f>SUMIF(Fonctionnement[Allocation],O9,Fonctionnement[Montant])</f>
        <v>0</v>
      </c>
      <c r="Q9" s="477">
        <f>SUMIF(CCTSAS[Allocation fonctions],VariablesInternes[[#This Row],[Fonction]],CCTSAS[Total éligible])</f>
        <v>0</v>
      </c>
      <c r="R9" s="477">
        <f>SUMIF(SalCommune[Allocations fonctions],VariablesInternes[[#This Row],[Fonction]],SalCommune[Total éligible])</f>
        <v>0</v>
      </c>
      <c r="T9" t="s">
        <v>610</v>
      </c>
      <c r="U9" s="50">
        <f>SUMIF(Recettes[Allocation],RecettesInterne[[#This Row],[Fonction]],Recettes[Montant])</f>
        <v>0</v>
      </c>
      <c r="W9" t="s">
        <v>576</v>
      </c>
      <c r="X9" t="s">
        <v>99</v>
      </c>
      <c r="Y9" s="50">
        <f>SUMIF(Fonctionnement[Allocation],W9,Fonctionnement[Montant])</f>
        <v>0</v>
      </c>
      <c r="Z9" s="50">
        <f>SUMIF(CCTSAS[Allocation fonctions],VariablesInternesCOVID[[#This Row],[Fonction FP]],CCTSAS[[Frais Personnel supplémentaire Crise Ukrainienne ]])</f>
        <v>0</v>
      </c>
      <c r="AA9" s="50">
        <f>SUMIF(CCTSAS[Allocation fonctions],VariablesInternesCOVID[[#This Row],[Fonction FP]],CCTSAS[Frais de personnel supplémentaire COVID-19])</f>
        <v>0</v>
      </c>
      <c r="AB9" s="50">
        <f>SUMIF(SalCommune[Allocations fonctions],VariablesInternesCOVID[[#This Row],[Fonction FP]],SalCommune[Frais de personnel supplémentaire Crise Ukrainienne])</f>
        <v>0</v>
      </c>
      <c r="AC9" s="50">
        <f>SUMIF(SalCommune[Allocations fonctions],VariablesInternesCOVID[[#This Row],[Fonction FP]],SalCommune[Frais de personnel supplémentaire COVID-19])</f>
        <v>0</v>
      </c>
      <c r="AE9" s="738"/>
      <c r="AF9" s="57" t="s">
        <v>111</v>
      </c>
      <c r="AG9" s="52">
        <f>SUMIFS(Fonctionnement[Montant],Fonctionnement[Allocation],Overhead616[[#This Row],[Fonction]],Fonctionnement[Frais généraux],Overhead616[[#Headers],[Frais directement liés à l''activité - Encadrement]])</f>
        <v>0</v>
      </c>
      <c r="AH9" s="52">
        <f>SUMIFS(Fonctionnement[Montant],Fonctionnement[Allocation],Overhead616[[#This Row],[Fonction]],Fonctionnement[Frais généraux],Overhead616[[#Headers],[Frais directement liés à l''activité - Logistique]])</f>
        <v>0</v>
      </c>
      <c r="AI9" s="52">
        <f>SUMIFS(Fonctionnement[Montant],Fonctionnement[Allocation],Overhead616[[#This Row],[Fonction]],Fonctionnement[Frais généraux],Overhead616[[#Headers],[Frais indirectement liés à l''activité - Prévues par la loi ]])</f>
        <v>0</v>
      </c>
      <c r="AJ9" s="52">
        <f>SUMIFS(Fonctionnement[Montant],Fonctionnement[Allocation],Overhead616[[#This Row],[Fonction]],Fonctionnement[Frais généraux],Overhead616[[#Headers],[Frais indirectement liés à l''activité - Autres fonctions - Administration / Logistique]])</f>
        <v>0</v>
      </c>
      <c r="AK9" s="52">
        <f>SUMIFS(Fonctionnement[Montant],Fonctionnement[Allocation],Overhead616[[#This Row],[Fonction]],Fonctionnement[Frais généraux],Overhead616[[#Headers],[Frais indirectement liés à l''activité - Autres fonctions - Chargé(e) de direction]])</f>
        <v>0</v>
      </c>
      <c r="AL9" s="53">
        <f>SUMIFS(Fonctionnement[Montant],Fonctionnement[Allocation],Overhead616[[#This Row],[Fonction]],Fonctionnement[Frais généraux],Overhead616[[#Headers],[Frais indirectement liés à l''activité - Autres fonctions - Direction générale]])</f>
        <v>0</v>
      </c>
    </row>
    <row r="10" spans="1:43" x14ac:dyDescent="0.25">
      <c r="G10" t="s">
        <v>99</v>
      </c>
      <c r="H10" t="s">
        <v>99</v>
      </c>
      <c r="I10" t="s">
        <v>267</v>
      </c>
      <c r="J10" t="s">
        <v>324</v>
      </c>
      <c r="M10" s="182" t="s">
        <v>200</v>
      </c>
      <c r="O10" s="476" t="s">
        <v>100</v>
      </c>
      <c r="P10" s="477">
        <f>SUMIF(Fonctionnement[Allocation],O10,Fonctionnement[Montant])</f>
        <v>0</v>
      </c>
      <c r="Q10" s="477">
        <f>SUMIF(CCTSAS[Allocation fonctions],VariablesInternes[[#This Row],[Fonction]],CCTSAS[Total éligible])</f>
        <v>0</v>
      </c>
      <c r="R10" s="477">
        <f>SUMIF(SalCommune[Allocations fonctions],VariablesInternes[[#This Row],[Fonction]],SalCommune[Total éligible])</f>
        <v>0</v>
      </c>
      <c r="T10" t="s">
        <v>631</v>
      </c>
      <c r="U10" s="50">
        <f>SUMIF(Recettes[Allocation],RecettesInterne[[#This Row],[Fonction]],Recettes[Montant])</f>
        <v>0</v>
      </c>
      <c r="W10" t="s">
        <v>577</v>
      </c>
      <c r="X10" t="s">
        <v>100</v>
      </c>
      <c r="Y10" s="50">
        <f>SUMIF(Fonctionnement[Allocation],W10,Fonctionnement[Montant])</f>
        <v>0</v>
      </c>
      <c r="Z10" s="50">
        <f>SUMIF(CCTSAS[Allocation fonctions],VariablesInternesCOVID[[#This Row],[Fonction FP]],CCTSAS[[Frais Personnel supplémentaire Crise Ukrainienne ]])</f>
        <v>0</v>
      </c>
      <c r="AA10" s="50">
        <f>SUMIF(CCTSAS[Allocation fonctions],VariablesInternesCOVID[[#This Row],[Fonction FP]],CCTSAS[Frais de personnel supplémentaire COVID-19])</f>
        <v>0</v>
      </c>
      <c r="AB10" s="50">
        <f>SUMIF(SalCommune[Allocations fonctions],VariablesInternesCOVID[[#This Row],[Fonction FP]],SalCommune[Frais de personnel supplémentaire Crise Ukrainienne])</f>
        <v>0</v>
      </c>
      <c r="AC10" s="50">
        <f>SUMIF(SalCommune[Allocations fonctions],VariablesInternesCOVID[[#This Row],[Fonction FP]],SalCommune[Frais de personnel supplémentaire COVID-19])</f>
        <v>0</v>
      </c>
      <c r="AE10" s="738"/>
      <c r="AF10" s="57" t="s">
        <v>98</v>
      </c>
      <c r="AG10" s="52">
        <f>SUMIFS(Fonctionnement[Montant],Fonctionnement[Allocation],Overhead616[[#This Row],[Fonction]],Fonctionnement[Frais généraux],Overhead616[[#Headers],[Frais directement liés à l''activité - Encadrement]])</f>
        <v>0</v>
      </c>
      <c r="AH10" s="52">
        <f>SUMIFS(Fonctionnement[Montant],Fonctionnement[Allocation],Overhead616[[#This Row],[Fonction]],Fonctionnement[Frais généraux],Overhead616[[#Headers],[Frais directement liés à l''activité - Logistique]])</f>
        <v>0</v>
      </c>
      <c r="AI10" s="52">
        <f>SUMIFS(Fonctionnement[Montant],Fonctionnement[Allocation],Overhead616[[#This Row],[Fonction]],Fonctionnement[Frais généraux],Overhead616[[#Headers],[Frais indirectement liés à l''activité - Prévues par la loi ]])</f>
        <v>0</v>
      </c>
      <c r="AJ10" s="52">
        <f>SUMIFS(Fonctionnement[Montant],Fonctionnement[Allocation],Overhead616[[#This Row],[Fonction]],Fonctionnement[Frais généraux],Overhead616[[#Headers],[Frais indirectement liés à l''activité - Autres fonctions - Administration / Logistique]])</f>
        <v>0</v>
      </c>
      <c r="AK10" s="52">
        <f>SUMIFS(Fonctionnement[Montant],Fonctionnement[Allocation],Overhead616[[#This Row],[Fonction]],Fonctionnement[Frais généraux],Overhead616[[#Headers],[Frais indirectement liés à l''activité - Autres fonctions - Chargé(e) de direction]])</f>
        <v>0</v>
      </c>
      <c r="AL10" s="53">
        <f>SUMIFS(Fonctionnement[Montant],Fonctionnement[Allocation],Overhead616[[#This Row],[Fonction]],Fonctionnement[Frais généraux],Overhead616[[#Headers],[Frais indirectement liés à l''activité - Autres fonctions - Direction générale]])</f>
        <v>0</v>
      </c>
    </row>
    <row r="11" spans="1:43" x14ac:dyDescent="0.25">
      <c r="G11" t="s">
        <v>100</v>
      </c>
      <c r="H11" t="s">
        <v>100</v>
      </c>
      <c r="I11" t="s">
        <v>266</v>
      </c>
      <c r="J11" t="s">
        <v>325</v>
      </c>
      <c r="O11" s="476" t="s">
        <v>101</v>
      </c>
      <c r="P11" s="477">
        <f>SUMIF(Fonctionnement[Allocation],O11,Fonctionnement[Montant])</f>
        <v>0</v>
      </c>
      <c r="Q11" s="477">
        <f>SUMIF(CCTSAS[Allocation fonctions],VariablesInternes[[#This Row],[Fonction]],CCTSAS[Total éligible])</f>
        <v>0</v>
      </c>
      <c r="R11" s="477">
        <f>SUMIF(SalCommune[Allocations fonctions],VariablesInternes[[#This Row],[Fonction]],SalCommune[Total éligible])</f>
        <v>0</v>
      </c>
      <c r="T11" s="182" t="s">
        <v>200</v>
      </c>
      <c r="U11" s="50">
        <f>SUMIF(Recettes[Allocation],RecettesInterne[[#This Row],[Fonction]],Recettes[Montant])</f>
        <v>0</v>
      </c>
      <c r="W11" t="s">
        <v>578</v>
      </c>
      <c r="X11" t="s">
        <v>101</v>
      </c>
      <c r="Y11" s="50">
        <f>SUMIF(Fonctionnement[Allocation],W11,Fonctionnement[Montant])</f>
        <v>0</v>
      </c>
      <c r="Z11" s="50">
        <f>SUMIF(CCTSAS[Allocation fonctions],VariablesInternesCOVID[[#This Row],[Fonction FP]],CCTSAS[[Frais Personnel supplémentaire Crise Ukrainienne ]])</f>
        <v>0</v>
      </c>
      <c r="AA11" s="50">
        <f>SUMIF(CCTSAS[Allocation fonctions],VariablesInternesCOVID[[#This Row],[Fonction FP]],CCTSAS[Frais de personnel supplémentaire COVID-19])</f>
        <v>0</v>
      </c>
      <c r="AB11" s="50">
        <f>SUMIF(SalCommune[Allocations fonctions],VariablesInternesCOVID[[#This Row],[Fonction FP]],SalCommune[Frais de personnel supplémentaire Crise Ukrainienne])</f>
        <v>0</v>
      </c>
      <c r="AC11" s="50">
        <f>SUMIF(SalCommune[Allocations fonctions],VariablesInternesCOVID[[#This Row],[Fonction FP]],SalCommune[Frais de personnel supplémentaire COVID-19])</f>
        <v>0</v>
      </c>
      <c r="AE11" s="738"/>
      <c r="AF11" s="57" t="s">
        <v>99</v>
      </c>
      <c r="AG11" s="52">
        <f>SUMIFS(Fonctionnement[Montant],Fonctionnement[Allocation],Overhead616[[#This Row],[Fonction]],Fonctionnement[Frais généraux],Overhead616[[#Headers],[Frais directement liés à l''activité - Encadrement]])</f>
        <v>0</v>
      </c>
      <c r="AH11" s="52">
        <f>SUMIFS(Fonctionnement[Montant],Fonctionnement[Allocation],Overhead616[[#This Row],[Fonction]],Fonctionnement[Frais généraux],Overhead616[[#Headers],[Frais directement liés à l''activité - Logistique]])</f>
        <v>0</v>
      </c>
      <c r="AI11" s="52">
        <f>SUMIFS(Fonctionnement[Montant],Fonctionnement[Allocation],Overhead616[[#This Row],[Fonction]],Fonctionnement[Frais généraux],Overhead616[[#Headers],[Frais indirectement liés à l''activité - Prévues par la loi ]])</f>
        <v>0</v>
      </c>
      <c r="AJ11" s="52">
        <f>SUMIFS(Fonctionnement[Montant],Fonctionnement[Allocation],Overhead616[[#This Row],[Fonction]],Fonctionnement[Frais généraux],Overhead616[[#Headers],[Frais indirectement liés à l''activité - Autres fonctions - Administration / Logistique]])</f>
        <v>0</v>
      </c>
      <c r="AK11" s="52">
        <f>SUMIFS(Fonctionnement[Montant],Fonctionnement[Allocation],Overhead616[[#This Row],[Fonction]],Fonctionnement[Frais généraux],Overhead616[[#Headers],[Frais indirectement liés à l''activité - Autres fonctions - Chargé(e) de direction]])</f>
        <v>0</v>
      </c>
      <c r="AL11" s="53">
        <f>SUMIFS(Fonctionnement[Montant],Fonctionnement[Allocation],Overhead616[[#This Row],[Fonction]],Fonctionnement[Frais généraux],Overhead616[[#Headers],[Frais indirectement liés à l''activité - Autres fonctions - Direction générale]])</f>
        <v>0</v>
      </c>
    </row>
    <row r="12" spans="1:43" x14ac:dyDescent="0.25">
      <c r="A12" t="s">
        <v>612</v>
      </c>
      <c r="G12" t="s">
        <v>101</v>
      </c>
      <c r="H12" t="s">
        <v>101</v>
      </c>
      <c r="I12" t="s">
        <v>265</v>
      </c>
      <c r="J12" t="s">
        <v>326</v>
      </c>
      <c r="O12" s="476" t="s">
        <v>102</v>
      </c>
      <c r="P12" s="477">
        <f>SUMIF(Fonctionnement[Allocation],O12,Fonctionnement[Montant])</f>
        <v>0</v>
      </c>
      <c r="Q12" s="477">
        <f>SUMIF(CCTSAS[Allocation fonctions],VariablesInternes[[#This Row],[Fonction]],CCTSAS[Total éligible])</f>
        <v>0</v>
      </c>
      <c r="R12" s="477">
        <f>SUMIF(SalCommune[Allocations fonctions],VariablesInternes[[#This Row],[Fonction]],SalCommune[Total éligible])</f>
        <v>0</v>
      </c>
      <c r="T12" t="s">
        <v>31</v>
      </c>
      <c r="U12" s="30">
        <f>SUBTOTAL(109,RecettesInterne[Recettes])</f>
        <v>0</v>
      </c>
      <c r="W12" t="s">
        <v>579</v>
      </c>
      <c r="X12" t="s">
        <v>102</v>
      </c>
      <c r="Y12" s="50">
        <f>SUMIF(Fonctionnement[Allocation],W12,Fonctionnement[Montant])</f>
        <v>0</v>
      </c>
      <c r="Z12" s="50">
        <f>SUMIF(CCTSAS[Allocation fonctions],VariablesInternesCOVID[[#This Row],[Fonction FP]],CCTSAS[[Frais Personnel supplémentaire Crise Ukrainienne ]])</f>
        <v>0</v>
      </c>
      <c r="AA12" s="50">
        <f>SUMIF(CCTSAS[Allocation fonctions],VariablesInternesCOVID[[#This Row],[Fonction FP]],CCTSAS[Frais de personnel supplémentaire COVID-19])</f>
        <v>0</v>
      </c>
      <c r="AB12" s="50">
        <f>SUMIF(SalCommune[Allocations fonctions],VariablesInternesCOVID[[#This Row],[Fonction FP]],SalCommune[Frais de personnel supplémentaire Crise Ukrainienne])</f>
        <v>0</v>
      </c>
      <c r="AC12" s="50">
        <f>SUMIF(SalCommune[Allocations fonctions],VariablesInternesCOVID[[#This Row],[Fonction FP]],SalCommune[Frais de personnel supplémentaire COVID-19])</f>
        <v>0</v>
      </c>
      <c r="AE12" s="738"/>
      <c r="AF12" s="57" t="s">
        <v>100</v>
      </c>
      <c r="AG12" s="52">
        <f>SUMIFS(Fonctionnement[Montant],Fonctionnement[Allocation],Overhead616[[#This Row],[Fonction]],Fonctionnement[Frais généraux],Overhead616[[#Headers],[Frais directement liés à l''activité - Encadrement]])</f>
        <v>0</v>
      </c>
      <c r="AH12" s="52">
        <f>SUMIFS(Fonctionnement[Montant],Fonctionnement[Allocation],Overhead616[[#This Row],[Fonction]],Fonctionnement[Frais généraux],Overhead616[[#Headers],[Frais directement liés à l''activité - Logistique]])</f>
        <v>0</v>
      </c>
      <c r="AI12" s="52">
        <f>SUMIFS(Fonctionnement[Montant],Fonctionnement[Allocation],Overhead616[[#This Row],[Fonction]],Fonctionnement[Frais généraux],Overhead616[[#Headers],[Frais indirectement liés à l''activité - Prévues par la loi ]])</f>
        <v>0</v>
      </c>
      <c r="AJ12" s="52">
        <f>SUMIFS(Fonctionnement[Montant],Fonctionnement[Allocation],Overhead616[[#This Row],[Fonction]],Fonctionnement[Frais généraux],Overhead616[[#Headers],[Frais indirectement liés à l''activité - Autres fonctions - Administration / Logistique]])</f>
        <v>0</v>
      </c>
      <c r="AK12" s="52">
        <f>SUMIFS(Fonctionnement[Montant],Fonctionnement[Allocation],Overhead616[[#This Row],[Fonction]],Fonctionnement[Frais généraux],Overhead616[[#Headers],[Frais indirectement liés à l''activité - Autres fonctions - Chargé(e) de direction]])</f>
        <v>0</v>
      </c>
      <c r="AL12" s="53">
        <f>SUMIFS(Fonctionnement[Montant],Fonctionnement[Allocation],Overhead616[[#This Row],[Fonction]],Fonctionnement[Frais généraux],Overhead616[[#Headers],[Frais indirectement liés à l''activité - Autres fonctions - Direction générale]])</f>
        <v>0</v>
      </c>
    </row>
    <row r="13" spans="1:43" x14ac:dyDescent="0.25">
      <c r="A13" t="s">
        <v>613</v>
      </c>
      <c r="G13" t="s">
        <v>102</v>
      </c>
      <c r="H13" t="s">
        <v>102</v>
      </c>
      <c r="I13" t="s">
        <v>264</v>
      </c>
      <c r="J13" t="s">
        <v>327</v>
      </c>
      <c r="O13" s="476" t="s">
        <v>103</v>
      </c>
      <c r="P13" s="477">
        <f>SUMIF(Fonctionnement[Allocation],O13,Fonctionnement[Montant])</f>
        <v>0</v>
      </c>
      <c r="Q13" s="477">
        <f>SUMIF(CCTSAS[Allocation fonctions],VariablesInternes[[#This Row],[Fonction]],CCTSAS[Total éligible])</f>
        <v>0</v>
      </c>
      <c r="R13" s="477">
        <f>SUMIF(SalCommune[Allocations fonctions],VariablesInternes[[#This Row],[Fonction]],SalCommune[Total éligible])</f>
        <v>0</v>
      </c>
      <c r="W13" t="s">
        <v>580</v>
      </c>
      <c r="X13" t="s">
        <v>103</v>
      </c>
      <c r="Y13" s="50">
        <f>SUMIF(Fonctionnement[Allocation],W13,Fonctionnement[Montant])</f>
        <v>0</v>
      </c>
      <c r="Z13" s="50">
        <f>SUMIF(CCTSAS[Allocation fonctions],VariablesInternesCOVID[[#This Row],[Fonction FP]],CCTSAS[[Frais Personnel supplémentaire Crise Ukrainienne ]])</f>
        <v>0</v>
      </c>
      <c r="AA13" s="50">
        <f>SUMIF(CCTSAS[Allocation fonctions],VariablesInternesCOVID[[#This Row],[Fonction FP]],CCTSAS[Frais de personnel supplémentaire COVID-19])</f>
        <v>0</v>
      </c>
      <c r="AB13" s="50">
        <f>SUMIF(SalCommune[Allocations fonctions],VariablesInternesCOVID[[#This Row],[Fonction FP]],SalCommune[Frais de personnel supplémentaire Crise Ukrainienne])</f>
        <v>0</v>
      </c>
      <c r="AC13" s="50">
        <f>SUMIF(SalCommune[Allocations fonctions],VariablesInternesCOVID[[#This Row],[Fonction FP]],SalCommune[Frais de personnel supplémentaire COVID-19])</f>
        <v>0</v>
      </c>
      <c r="AE13" s="738"/>
      <c r="AF13" s="57" t="s">
        <v>101</v>
      </c>
      <c r="AG13" s="52">
        <f>SUMIFS(Fonctionnement[Montant],Fonctionnement[Allocation],Overhead616[[#This Row],[Fonction]],Fonctionnement[Frais généraux],Overhead616[[#Headers],[Frais directement liés à l''activité - Encadrement]])</f>
        <v>0</v>
      </c>
      <c r="AH13" s="52">
        <f>SUMIFS(Fonctionnement[Montant],Fonctionnement[Allocation],Overhead616[[#This Row],[Fonction]],Fonctionnement[Frais généraux],Overhead616[[#Headers],[Frais directement liés à l''activité - Logistique]])</f>
        <v>0</v>
      </c>
      <c r="AI13" s="52">
        <f>SUMIFS(Fonctionnement[Montant],Fonctionnement[Allocation],Overhead616[[#This Row],[Fonction]],Fonctionnement[Frais généraux],Overhead616[[#Headers],[Frais indirectement liés à l''activité - Prévues par la loi ]])</f>
        <v>0</v>
      </c>
      <c r="AJ13" s="52">
        <f>SUMIFS(Fonctionnement[Montant],Fonctionnement[Allocation],Overhead616[[#This Row],[Fonction]],Fonctionnement[Frais généraux],Overhead616[[#Headers],[Frais indirectement liés à l''activité - Autres fonctions - Administration / Logistique]])</f>
        <v>0</v>
      </c>
      <c r="AK13" s="52">
        <f>SUMIFS(Fonctionnement[Montant],Fonctionnement[Allocation],Overhead616[[#This Row],[Fonction]],Fonctionnement[Frais généraux],Overhead616[[#Headers],[Frais indirectement liés à l''activité - Autres fonctions - Chargé(e) de direction]])</f>
        <v>0</v>
      </c>
      <c r="AL13" s="53">
        <f>SUMIFS(Fonctionnement[Montant],Fonctionnement[Allocation],Overhead616[[#This Row],[Fonction]],Fonctionnement[Frais généraux],Overhead616[[#Headers],[Frais indirectement liés à l''activité - Autres fonctions - Direction générale]])</f>
        <v>0</v>
      </c>
    </row>
    <row r="14" spans="1:43" x14ac:dyDescent="0.25">
      <c r="A14" t="s">
        <v>614</v>
      </c>
      <c r="G14" t="s">
        <v>103</v>
      </c>
      <c r="H14" t="s">
        <v>103</v>
      </c>
      <c r="I14" t="s">
        <v>268</v>
      </c>
      <c r="J14" t="s">
        <v>328</v>
      </c>
      <c r="O14" s="476" t="s">
        <v>638</v>
      </c>
      <c r="P14" s="477">
        <f>SUMIF(Fonctionnement[Allocation],O14,Fonctionnement[Montant])</f>
        <v>0</v>
      </c>
      <c r="Q14" s="477">
        <f>SUMIF(CCTSAS[Allocation fonctions],VariablesInternes[[#This Row],[Fonction]],CCTSAS[Total éligible])</f>
        <v>0</v>
      </c>
      <c r="R14" s="477">
        <f>SUMIF(SalCommune[Allocations fonctions],VariablesInternes[[#This Row],[Fonction]],SalCommune[Total éligible])</f>
        <v>0</v>
      </c>
      <c r="W14" t="s">
        <v>581</v>
      </c>
      <c r="X14" t="s">
        <v>638</v>
      </c>
      <c r="Y14" s="50">
        <f>SUMIF(Fonctionnement[Allocation],W14,Fonctionnement[Montant])</f>
        <v>0</v>
      </c>
      <c r="Z14" s="50">
        <f>SUMIF(CCTSAS[Allocation fonctions],VariablesInternesCOVID[[#This Row],[Fonction FP]],CCTSAS[[Frais Personnel supplémentaire Crise Ukrainienne ]])</f>
        <v>0</v>
      </c>
      <c r="AA14" s="50">
        <f>SUMIF(CCTSAS[Allocation fonctions],VariablesInternesCOVID[[#This Row],[Fonction FP]],CCTSAS[Frais de personnel supplémentaire COVID-19])</f>
        <v>0</v>
      </c>
      <c r="AB14" s="50">
        <f>SUMIF(SalCommune[Allocations fonctions],VariablesInternesCOVID[[#This Row],[Fonction FP]],SalCommune[Frais de personnel supplémentaire Crise Ukrainienne])</f>
        <v>0</v>
      </c>
      <c r="AC14" s="50">
        <f>SUMIF(SalCommune[Allocations fonctions],VariablesInternesCOVID[[#This Row],[Fonction FP]],SalCommune[Frais de personnel supplémentaire COVID-19])</f>
        <v>0</v>
      </c>
      <c r="AE14" s="738"/>
      <c r="AF14" s="57" t="s">
        <v>102</v>
      </c>
      <c r="AG14" s="52">
        <f>SUMIFS(Fonctionnement[Montant],Fonctionnement[Allocation],Overhead616[[#This Row],[Fonction]],Fonctionnement[Frais généraux],Overhead616[[#Headers],[Frais directement liés à l''activité - Encadrement]])</f>
        <v>0</v>
      </c>
      <c r="AH14" s="52">
        <f>SUMIFS(Fonctionnement[Montant],Fonctionnement[Allocation],Overhead616[[#This Row],[Fonction]],Fonctionnement[Frais généraux],Overhead616[[#Headers],[Frais directement liés à l''activité - Logistique]])</f>
        <v>0</v>
      </c>
      <c r="AI14" s="52">
        <f>SUMIFS(Fonctionnement[Montant],Fonctionnement[Allocation],Overhead616[[#This Row],[Fonction]],Fonctionnement[Frais généraux],Overhead616[[#Headers],[Frais indirectement liés à l''activité - Prévues par la loi ]])</f>
        <v>0</v>
      </c>
      <c r="AJ14" s="52">
        <f>SUMIFS(Fonctionnement[Montant],Fonctionnement[Allocation],Overhead616[[#This Row],[Fonction]],Fonctionnement[Frais généraux],Overhead616[[#Headers],[Frais indirectement liés à l''activité - Autres fonctions - Administration / Logistique]])</f>
        <v>0</v>
      </c>
      <c r="AK14" s="52">
        <f>SUMIFS(Fonctionnement[Montant],Fonctionnement[Allocation],Overhead616[[#This Row],[Fonction]],Fonctionnement[Frais généraux],Overhead616[[#Headers],[Frais indirectement liés à l''activité - Autres fonctions - Chargé(e) de direction]])</f>
        <v>0</v>
      </c>
      <c r="AL14" s="53">
        <f>SUMIFS(Fonctionnement[Montant],Fonctionnement[Allocation],Overhead616[[#This Row],[Fonction]],Fonctionnement[Frais généraux],Overhead616[[#Headers],[Frais indirectement liés à l''activité - Autres fonctions - Direction générale]])</f>
        <v>0</v>
      </c>
    </row>
    <row r="15" spans="1:43" x14ac:dyDescent="0.25">
      <c r="A15" t="s">
        <v>615</v>
      </c>
      <c r="G15" s="476" t="s">
        <v>638</v>
      </c>
      <c r="H15" t="s">
        <v>105</v>
      </c>
      <c r="I15" t="s">
        <v>269</v>
      </c>
      <c r="J15" t="s">
        <v>329</v>
      </c>
      <c r="O15" s="476" t="s">
        <v>637</v>
      </c>
      <c r="P15" s="477">
        <f>SUMIF(Fonctionnement[Allocation],O15,Fonctionnement[Montant])</f>
        <v>0</v>
      </c>
      <c r="Q15" s="477">
        <f>SUMIF(CCTSAS[Allocation fonctions],VariablesInternes[[#This Row],[Fonction]],CCTSAS[Total éligible])</f>
        <v>0</v>
      </c>
      <c r="R15" s="477">
        <f>SUMIF(SalCommune[Allocations fonctions],VariablesInternes[[#This Row],[Fonction]],SalCommune[Total éligible])</f>
        <v>0</v>
      </c>
      <c r="W15" t="s">
        <v>582</v>
      </c>
      <c r="X15" t="s">
        <v>637</v>
      </c>
      <c r="Y15" s="50">
        <f>SUMIF(Fonctionnement[Allocation],W15,Fonctionnement[Montant])</f>
        <v>0</v>
      </c>
      <c r="Z15" s="50">
        <f>SUMIF(CCTSAS[Allocation fonctions],VariablesInternesCOVID[[#This Row],[Fonction FP]],CCTSAS[[Frais Personnel supplémentaire Crise Ukrainienne ]])</f>
        <v>0</v>
      </c>
      <c r="AA15" s="50">
        <f>SUMIF(CCTSAS[Allocation fonctions],VariablesInternesCOVID[[#This Row],[Fonction FP]],CCTSAS[Frais de personnel supplémentaire COVID-19])</f>
        <v>0</v>
      </c>
      <c r="AB15" s="50">
        <f>SUMIF(SalCommune[Allocations fonctions],VariablesInternesCOVID[[#This Row],[Fonction FP]],SalCommune[Frais de personnel supplémentaire Crise Ukrainienne])</f>
        <v>0</v>
      </c>
      <c r="AC15" s="50">
        <f>SUMIF(SalCommune[Allocations fonctions],VariablesInternesCOVID[[#This Row],[Fonction FP]],SalCommune[Frais de personnel supplémentaire COVID-19])</f>
        <v>0</v>
      </c>
      <c r="AE15" s="738"/>
      <c r="AF15" s="57" t="s">
        <v>103</v>
      </c>
      <c r="AG15" s="52">
        <f>SUMIFS(Fonctionnement[Montant],Fonctionnement[Allocation],Overhead616[[#This Row],[Fonction]],Fonctionnement[Frais généraux],Overhead616[[#Headers],[Frais directement liés à l''activité - Encadrement]])</f>
        <v>0</v>
      </c>
      <c r="AH15" s="52">
        <f>SUMIFS(Fonctionnement[Montant],Fonctionnement[Allocation],Overhead616[[#This Row],[Fonction]],Fonctionnement[Frais généraux],Overhead616[[#Headers],[Frais directement liés à l''activité - Logistique]])</f>
        <v>0</v>
      </c>
      <c r="AI15" s="52">
        <f>SUMIFS(Fonctionnement[Montant],Fonctionnement[Allocation],Overhead616[[#This Row],[Fonction]],Fonctionnement[Frais généraux],Overhead616[[#Headers],[Frais indirectement liés à l''activité - Prévues par la loi ]])</f>
        <v>0</v>
      </c>
      <c r="AJ15" s="52">
        <f>SUMIFS(Fonctionnement[Montant],Fonctionnement[Allocation],Overhead616[[#This Row],[Fonction]],Fonctionnement[Frais généraux],Overhead616[[#Headers],[Frais indirectement liés à l''activité - Autres fonctions - Administration / Logistique]])</f>
        <v>0</v>
      </c>
      <c r="AK15" s="52">
        <f>SUMIFS(Fonctionnement[Montant],Fonctionnement[Allocation],Overhead616[[#This Row],[Fonction]],Fonctionnement[Frais généraux],Overhead616[[#Headers],[Frais indirectement liés à l''activité - Autres fonctions - Chargé(e) de direction]])</f>
        <v>0</v>
      </c>
      <c r="AL15" s="53">
        <f>SUMIFS(Fonctionnement[Montant],Fonctionnement[Allocation],Overhead616[[#This Row],[Fonction]],Fonctionnement[Frais généraux],Overhead616[[#Headers],[Frais indirectement liés à l''activité - Autres fonctions - Direction générale]])</f>
        <v>0</v>
      </c>
    </row>
    <row r="16" spans="1:43" x14ac:dyDescent="0.25">
      <c r="A16" t="s">
        <v>616</v>
      </c>
      <c r="G16" s="476" t="s">
        <v>637</v>
      </c>
      <c r="H16" t="s">
        <v>107</v>
      </c>
      <c r="I16" t="s">
        <v>270</v>
      </c>
      <c r="J16" t="s">
        <v>330</v>
      </c>
      <c r="O16" s="476" t="s">
        <v>105</v>
      </c>
      <c r="P16" s="477">
        <f>SUMIF(Fonctionnement[Allocation],O16,Fonctionnement[Montant])</f>
        <v>0</v>
      </c>
      <c r="Q16" s="477">
        <f>SUMIF(CCTSAS[Allocation fonctions],VariablesInternes[[#This Row],[Fonction]],CCTSAS[Total éligible])</f>
        <v>0</v>
      </c>
      <c r="R16" s="477">
        <f>SUMIF(SalCommune[Allocations fonctions],VariablesInternes[[#This Row],[Fonction]],SalCommune[Total éligible])</f>
        <v>0</v>
      </c>
      <c r="W16" t="s">
        <v>585</v>
      </c>
      <c r="X16" t="s">
        <v>105</v>
      </c>
      <c r="Y16" s="50">
        <f>SUMIF(Fonctionnement[Allocation],W16,Fonctionnement[Montant])</f>
        <v>0</v>
      </c>
      <c r="Z16" s="50">
        <f>SUMIF(CCTSAS[Allocation fonctions],VariablesInternesCOVID[[#This Row],[Fonction FP]],CCTSAS[[Frais Personnel supplémentaire Crise Ukrainienne ]])</f>
        <v>0</v>
      </c>
      <c r="AA16" s="50">
        <f>SUMIF(CCTSAS[Allocation fonctions],VariablesInternesCOVID[[#This Row],[Fonction FP]],CCTSAS[Frais de personnel supplémentaire COVID-19])</f>
        <v>0</v>
      </c>
      <c r="AB16" s="50">
        <f>SUMIF(SalCommune[Allocations fonctions],VariablesInternesCOVID[[#This Row],[Fonction FP]],SalCommune[Frais de personnel supplémentaire Crise Ukrainienne])</f>
        <v>0</v>
      </c>
      <c r="AC16" s="50">
        <f>SUMIF(SalCommune[Allocations fonctions],VariablesInternesCOVID[[#This Row],[Fonction FP]],SalCommune[Frais de personnel supplémentaire COVID-19])</f>
        <v>0</v>
      </c>
      <c r="AE16" s="738"/>
      <c r="AF16" s="57" t="s">
        <v>104</v>
      </c>
      <c r="AG16" s="52">
        <f>SUMIFS(Fonctionnement[Montant],Fonctionnement[Allocation],Overhead616[[#This Row],[Fonction]],Fonctionnement[Frais généraux],Overhead616[[#Headers],[Frais directement liés à l''activité - Encadrement]])</f>
        <v>0</v>
      </c>
      <c r="AH16" s="52">
        <f>SUMIFS(Fonctionnement[Montant],Fonctionnement[Allocation],Overhead616[[#This Row],[Fonction]],Fonctionnement[Frais généraux],Overhead616[[#Headers],[Frais directement liés à l''activité - Logistique]])</f>
        <v>0</v>
      </c>
      <c r="AI16" s="52">
        <f>SUMIFS(Fonctionnement[Montant],Fonctionnement[Allocation],Overhead616[[#This Row],[Fonction]],Fonctionnement[Frais généraux],Overhead616[[#Headers],[Frais indirectement liés à l''activité - Prévues par la loi ]])</f>
        <v>0</v>
      </c>
      <c r="AJ16" s="52">
        <f>SUMIFS(Fonctionnement[Montant],Fonctionnement[Allocation],Overhead616[[#This Row],[Fonction]],Fonctionnement[Frais généraux],Overhead616[[#Headers],[Frais indirectement liés à l''activité - Autres fonctions - Administration / Logistique]])</f>
        <v>0</v>
      </c>
      <c r="AK16" s="52">
        <f>SUMIFS(Fonctionnement[Montant],Fonctionnement[Allocation],Overhead616[[#This Row],[Fonction]],Fonctionnement[Frais généraux],Overhead616[[#Headers],[Frais indirectement liés à l''activité - Autres fonctions - Chargé(e) de direction]])</f>
        <v>0</v>
      </c>
      <c r="AL16" s="53">
        <f>SUMIFS(Fonctionnement[Montant],Fonctionnement[Allocation],Overhead616[[#This Row],[Fonction]],Fonctionnement[Frais généraux],Overhead616[[#Headers],[Frais indirectement liés à l''activité - Autres fonctions - Direction générale]])</f>
        <v>0</v>
      </c>
    </row>
    <row r="17" spans="1:38" x14ac:dyDescent="0.25">
      <c r="A17" t="s">
        <v>723</v>
      </c>
      <c r="G17" t="s">
        <v>105</v>
      </c>
      <c r="H17" t="s">
        <v>109</v>
      </c>
      <c r="I17" t="s">
        <v>271</v>
      </c>
      <c r="J17" t="s">
        <v>331</v>
      </c>
      <c r="O17" s="476" t="s">
        <v>106</v>
      </c>
      <c r="P17" s="477">
        <f>SUMIF(Fonctionnement[Allocation],O17,Fonctionnement[Montant])</f>
        <v>0</v>
      </c>
      <c r="Q17" s="477">
        <f>SUMIF(CCTSAS[Allocation fonctions],VariablesInternes[[#This Row],[Fonction]],CCTSAS[Total éligible])</f>
        <v>0</v>
      </c>
      <c r="R17" s="477">
        <f>SUMIF(SalCommune[Allocations fonctions],VariablesInternes[[#This Row],[Fonction]],SalCommune[Total éligible])</f>
        <v>0</v>
      </c>
      <c r="W17" t="s">
        <v>583</v>
      </c>
      <c r="X17" t="s">
        <v>106</v>
      </c>
      <c r="Y17" s="50">
        <f>SUMIF(Fonctionnement[Allocation],W17,Fonctionnement[Montant])</f>
        <v>0</v>
      </c>
      <c r="Z17" s="50">
        <f>SUMIF(CCTSAS[Allocation fonctions],VariablesInternesCOVID[[#This Row],[Fonction FP]],CCTSAS[[Frais Personnel supplémentaire Crise Ukrainienne ]])</f>
        <v>0</v>
      </c>
      <c r="AA17" s="50">
        <f>SUMIF(CCTSAS[Allocation fonctions],VariablesInternesCOVID[[#This Row],[Fonction FP]],CCTSAS[Frais de personnel supplémentaire COVID-19])</f>
        <v>0</v>
      </c>
      <c r="AB17" s="50">
        <f>SUMIF(SalCommune[Allocations fonctions],VariablesInternesCOVID[[#This Row],[Fonction FP]],SalCommune[Frais de personnel supplémentaire Crise Ukrainienne])</f>
        <v>0</v>
      </c>
      <c r="AC17" s="50">
        <f>SUMIF(SalCommune[Allocations fonctions],VariablesInternesCOVID[[#This Row],[Fonction FP]],SalCommune[Frais de personnel supplémentaire COVID-19])</f>
        <v>0</v>
      </c>
      <c r="AE17" s="738"/>
      <c r="AF17" s="57" t="s">
        <v>105</v>
      </c>
      <c r="AG17" s="52">
        <f>SUMIFS(Fonctionnement[Montant],Fonctionnement[Allocation],Overhead616[[#This Row],[Fonction]],Fonctionnement[Frais généraux],Overhead616[[#Headers],[Frais directement liés à l''activité - Encadrement]])</f>
        <v>0</v>
      </c>
      <c r="AH17" s="52">
        <f>SUMIFS(Fonctionnement[Montant],Fonctionnement[Allocation],Overhead616[[#This Row],[Fonction]],Fonctionnement[Frais généraux],Overhead616[[#Headers],[Frais directement liés à l''activité - Logistique]])</f>
        <v>0</v>
      </c>
      <c r="AI17" s="52">
        <f>SUMIFS(Fonctionnement[Montant],Fonctionnement[Allocation],Overhead616[[#This Row],[Fonction]],Fonctionnement[Frais généraux],Overhead616[[#Headers],[Frais indirectement liés à l''activité - Prévues par la loi ]])</f>
        <v>0</v>
      </c>
      <c r="AJ17" s="52">
        <f>SUMIFS(Fonctionnement[Montant],Fonctionnement[Allocation],Overhead616[[#This Row],[Fonction]],Fonctionnement[Frais généraux],Overhead616[[#Headers],[Frais indirectement liés à l''activité - Autres fonctions - Administration / Logistique]])</f>
        <v>0</v>
      </c>
      <c r="AK17" s="52">
        <f>SUMIFS(Fonctionnement[Montant],Fonctionnement[Allocation],Overhead616[[#This Row],[Fonction]],Fonctionnement[Frais généraux],Overhead616[[#Headers],[Frais indirectement liés à l''activité - Autres fonctions - Chargé(e) de direction]])</f>
        <v>0</v>
      </c>
      <c r="AL17" s="53">
        <f>SUMIFS(Fonctionnement[Montant],Fonctionnement[Allocation],Overhead616[[#This Row],[Fonction]],Fonctionnement[Frais généraux],Overhead616[[#Headers],[Frais indirectement liés à l''activité - Autres fonctions - Direction générale]])</f>
        <v>0</v>
      </c>
    </row>
    <row r="18" spans="1:38" x14ac:dyDescent="0.25">
      <c r="A18" t="s">
        <v>617</v>
      </c>
      <c r="G18" t="s">
        <v>106</v>
      </c>
      <c r="H18" t="s">
        <v>610</v>
      </c>
      <c r="I18" t="s">
        <v>272</v>
      </c>
      <c r="J18" t="s">
        <v>332</v>
      </c>
      <c r="O18" s="476" t="s">
        <v>107</v>
      </c>
      <c r="P18" s="477">
        <f>SUMIF(Fonctionnement[Allocation],O18,Fonctionnement[Montant])</f>
        <v>0</v>
      </c>
      <c r="Q18" s="477">
        <f>SUMIF(CCTSAS[Allocation fonctions],VariablesInternes[[#This Row],[Fonction]],CCTSAS[Total éligible])</f>
        <v>0</v>
      </c>
      <c r="R18" s="477">
        <f>SUMIF(SalCommune[Allocations fonctions],VariablesInternes[[#This Row],[Fonction]],SalCommune[Total éligible])</f>
        <v>0</v>
      </c>
      <c r="W18" t="s">
        <v>586</v>
      </c>
      <c r="X18" t="s">
        <v>107</v>
      </c>
      <c r="Y18" s="50">
        <f>SUMIF(Fonctionnement[Allocation],W18,Fonctionnement[Montant])</f>
        <v>0</v>
      </c>
      <c r="Z18" s="50">
        <f>SUMIF(CCTSAS[Allocation fonctions],VariablesInternesCOVID[[#This Row],[Fonction FP]],CCTSAS[[Frais Personnel supplémentaire Crise Ukrainienne ]])</f>
        <v>0</v>
      </c>
      <c r="AA18" s="50">
        <f>SUMIF(CCTSAS[Allocation fonctions],VariablesInternesCOVID[[#This Row],[Fonction FP]],CCTSAS[Frais de personnel supplémentaire COVID-19])</f>
        <v>0</v>
      </c>
      <c r="AB18" s="50">
        <f>SUMIF(SalCommune[Allocations fonctions],VariablesInternesCOVID[[#This Row],[Fonction FP]],SalCommune[Frais de personnel supplémentaire Crise Ukrainienne])</f>
        <v>0</v>
      </c>
      <c r="AC18" s="50">
        <f>SUMIF(SalCommune[Allocations fonctions],VariablesInternesCOVID[[#This Row],[Fonction FP]],SalCommune[Frais de personnel supplémentaire COVID-19])</f>
        <v>0</v>
      </c>
      <c r="AE18" s="738"/>
      <c r="AF18" s="57" t="s">
        <v>106</v>
      </c>
      <c r="AG18" s="52">
        <f>SUMIFS(Fonctionnement[Montant],Fonctionnement[Allocation],Overhead616[[#This Row],[Fonction]],Fonctionnement[Frais généraux],Overhead616[[#Headers],[Frais directement liés à l''activité - Encadrement]])</f>
        <v>0</v>
      </c>
      <c r="AH18" s="52">
        <f>SUMIFS(Fonctionnement[Montant],Fonctionnement[Allocation],Overhead616[[#This Row],[Fonction]],Fonctionnement[Frais généraux],Overhead616[[#Headers],[Frais directement liés à l''activité - Logistique]])</f>
        <v>0</v>
      </c>
      <c r="AI18" s="52">
        <f>SUMIFS(Fonctionnement[Montant],Fonctionnement[Allocation],Overhead616[[#This Row],[Fonction]],Fonctionnement[Frais généraux],Overhead616[[#Headers],[Frais indirectement liés à l''activité - Prévues par la loi ]])</f>
        <v>0</v>
      </c>
      <c r="AJ18" s="52">
        <f>SUMIFS(Fonctionnement[Montant],Fonctionnement[Allocation],Overhead616[[#This Row],[Fonction]],Fonctionnement[Frais généraux],Overhead616[[#Headers],[Frais indirectement liés à l''activité - Autres fonctions - Administration / Logistique]])</f>
        <v>0</v>
      </c>
      <c r="AK18" s="52">
        <f>SUMIFS(Fonctionnement[Montant],Fonctionnement[Allocation],Overhead616[[#This Row],[Fonction]],Fonctionnement[Frais généraux],Overhead616[[#Headers],[Frais indirectement liés à l''activité - Autres fonctions - Chargé(e) de direction]])</f>
        <v>0</v>
      </c>
      <c r="AL18" s="53">
        <f>SUMIFS(Fonctionnement[Montant],Fonctionnement[Allocation],Overhead616[[#This Row],[Fonction]],Fonctionnement[Frais généraux],Overhead616[[#Headers],[Frais indirectement liés à l''activité - Autres fonctions - Direction générale]])</f>
        <v>0</v>
      </c>
    </row>
    <row r="19" spans="1:38" x14ac:dyDescent="0.25">
      <c r="G19" t="s">
        <v>107</v>
      </c>
      <c r="H19" s="476" t="s">
        <v>627</v>
      </c>
      <c r="I19" t="s">
        <v>273</v>
      </c>
      <c r="J19" t="s">
        <v>333</v>
      </c>
      <c r="O19" s="476" t="s">
        <v>108</v>
      </c>
      <c r="P19" s="477">
        <f>SUMIF(Fonctionnement[Allocation],O19,Fonctionnement[Montant])</f>
        <v>0</v>
      </c>
      <c r="Q19" s="477">
        <f>SUMIF(CCTSAS[Allocation fonctions],VariablesInternes[[#This Row],[Fonction]],CCTSAS[Total éligible])</f>
        <v>0</v>
      </c>
      <c r="R19" s="477">
        <f>SUMIF(SalCommune[Allocations fonctions],VariablesInternes[[#This Row],[Fonction]],SalCommune[Total éligible])</f>
        <v>0</v>
      </c>
      <c r="W19" t="s">
        <v>584</v>
      </c>
      <c r="X19" t="s">
        <v>108</v>
      </c>
      <c r="Y19" s="50">
        <f>SUMIF(Fonctionnement[Allocation],W19,Fonctionnement[Montant])</f>
        <v>0</v>
      </c>
      <c r="Z19" s="50">
        <f>SUMIF(CCTSAS[Allocation fonctions],VariablesInternesCOVID[[#This Row],[Fonction FP]],CCTSAS[[Frais Personnel supplémentaire Crise Ukrainienne ]])</f>
        <v>0</v>
      </c>
      <c r="AA19" s="50">
        <f>SUMIF(CCTSAS[Allocation fonctions],VariablesInternesCOVID[[#This Row],[Fonction FP]],CCTSAS[Frais de personnel supplémentaire COVID-19])</f>
        <v>0</v>
      </c>
      <c r="AB19" s="50">
        <f>SUMIF(SalCommune[Allocations fonctions],VariablesInternesCOVID[[#This Row],[Fonction FP]],SalCommune[Frais de personnel supplémentaire Crise Ukrainienne])</f>
        <v>0</v>
      </c>
      <c r="AC19" s="50">
        <f>SUMIF(SalCommune[Allocations fonctions],VariablesInternesCOVID[[#This Row],[Fonction FP]],SalCommune[Frais de personnel supplémentaire COVID-19])</f>
        <v>0</v>
      </c>
      <c r="AE19" s="738"/>
      <c r="AF19" s="57" t="s">
        <v>107</v>
      </c>
      <c r="AG19" s="52">
        <f>SUMIFS(Fonctionnement[Montant],Fonctionnement[Allocation],Overhead616[[#This Row],[Fonction]],Fonctionnement[Frais généraux],Overhead616[[#Headers],[Frais directement liés à l''activité - Encadrement]])</f>
        <v>0</v>
      </c>
      <c r="AH19" s="52">
        <f>SUMIFS(Fonctionnement[Montant],Fonctionnement[Allocation],Overhead616[[#This Row],[Fonction]],Fonctionnement[Frais généraux],Overhead616[[#Headers],[Frais directement liés à l''activité - Logistique]])</f>
        <v>0</v>
      </c>
      <c r="AI19" s="52">
        <f>SUMIFS(Fonctionnement[Montant],Fonctionnement[Allocation],Overhead616[[#This Row],[Fonction]],Fonctionnement[Frais généraux],Overhead616[[#Headers],[Frais indirectement liés à l''activité - Prévues par la loi ]])</f>
        <v>0</v>
      </c>
      <c r="AJ19" s="52">
        <f>SUMIFS(Fonctionnement[Montant],Fonctionnement[Allocation],Overhead616[[#This Row],[Fonction]],Fonctionnement[Frais généraux],Overhead616[[#Headers],[Frais indirectement liés à l''activité - Autres fonctions - Administration / Logistique]])</f>
        <v>0</v>
      </c>
      <c r="AK19" s="52">
        <f>SUMIFS(Fonctionnement[Montant],Fonctionnement[Allocation],Overhead616[[#This Row],[Fonction]],Fonctionnement[Frais généraux],Overhead616[[#Headers],[Frais indirectement liés à l''activité - Autres fonctions - Chargé(e) de direction]])</f>
        <v>0</v>
      </c>
      <c r="AL19" s="53">
        <f>SUMIFS(Fonctionnement[Montant],Fonctionnement[Allocation],Overhead616[[#This Row],[Fonction]],Fonctionnement[Frais généraux],Overhead616[[#Headers],[Frais indirectement liés à l''activité - Autres fonctions - Direction générale]])</f>
        <v>0</v>
      </c>
    </row>
    <row r="20" spans="1:38" x14ac:dyDescent="0.25">
      <c r="G20" t="s">
        <v>108</v>
      </c>
      <c r="H20" s="476" t="s">
        <v>628</v>
      </c>
      <c r="I20" t="s">
        <v>275</v>
      </c>
      <c r="J20" t="s">
        <v>334</v>
      </c>
      <c r="O20" s="476" t="s">
        <v>109</v>
      </c>
      <c r="P20" s="477">
        <f>SUMIF(Fonctionnement[Allocation],O20,Fonctionnement[Montant])</f>
        <v>0</v>
      </c>
      <c r="Q20" s="477">
        <f>SUMIF(CCTSAS[Allocation fonctions],VariablesInternes[[#This Row],[Fonction]],CCTSAS[Total éligible])</f>
        <v>0</v>
      </c>
      <c r="R20" s="477">
        <f>SUMIF(SalCommune[Allocations fonctions],VariablesInternes[[#This Row],[Fonction]],SalCommune[Total éligible])</f>
        <v>0</v>
      </c>
      <c r="W20" t="s">
        <v>611</v>
      </c>
      <c r="X20" t="s">
        <v>109</v>
      </c>
      <c r="Y20" s="50">
        <f>SUMIF(Fonctionnement[Allocation],W20,Fonctionnement[Montant])</f>
        <v>0</v>
      </c>
      <c r="Z20" s="50">
        <f>SUMIF(CCTSAS[Allocation fonctions],VariablesInternesCOVID[[#This Row],[Fonction FP]],CCTSAS[[Frais Personnel supplémentaire Crise Ukrainienne ]])</f>
        <v>0</v>
      </c>
      <c r="AA20" s="50">
        <f>SUMIF(CCTSAS[Allocation fonctions],VariablesInternesCOVID[[#This Row],[Fonction FP]],CCTSAS[Frais de personnel supplémentaire COVID-19])</f>
        <v>0</v>
      </c>
      <c r="AB20" s="50">
        <f>SUMIF(SalCommune[Allocations fonctions],VariablesInternesCOVID[[#This Row],[Fonction FP]],SalCommune[Frais de personnel supplémentaire Crise Ukrainienne])</f>
        <v>0</v>
      </c>
      <c r="AC20" s="50">
        <f>SUMIF(SalCommune[Allocations fonctions],VariablesInternesCOVID[[#This Row],[Fonction FP]],SalCommune[Frais de personnel supplémentaire COVID-19])</f>
        <v>0</v>
      </c>
      <c r="AE20" s="738"/>
      <c r="AF20" s="57" t="s">
        <v>108</v>
      </c>
      <c r="AG20" s="52">
        <f>SUMIFS(Fonctionnement[Montant],Fonctionnement[Allocation],Overhead616[[#This Row],[Fonction]],Fonctionnement[Frais généraux],Overhead616[[#Headers],[Frais directement liés à l''activité - Encadrement]])</f>
        <v>0</v>
      </c>
      <c r="AH20" s="52">
        <f>SUMIFS(Fonctionnement[Montant],Fonctionnement[Allocation],Overhead616[[#This Row],[Fonction]],Fonctionnement[Frais généraux],Overhead616[[#Headers],[Frais directement liés à l''activité - Logistique]])</f>
        <v>0</v>
      </c>
      <c r="AI20" s="52">
        <f>SUMIFS(Fonctionnement[Montant],Fonctionnement[Allocation],Overhead616[[#This Row],[Fonction]],Fonctionnement[Frais généraux],Overhead616[[#Headers],[Frais indirectement liés à l''activité - Prévues par la loi ]])</f>
        <v>0</v>
      </c>
      <c r="AJ20" s="52">
        <f>SUMIFS(Fonctionnement[Montant],Fonctionnement[Allocation],Overhead616[[#This Row],[Fonction]],Fonctionnement[Frais généraux],Overhead616[[#Headers],[Frais indirectement liés à l''activité - Autres fonctions - Administration / Logistique]])</f>
        <v>0</v>
      </c>
      <c r="AK20" s="52">
        <f>SUMIFS(Fonctionnement[Montant],Fonctionnement[Allocation],Overhead616[[#This Row],[Fonction]],Fonctionnement[Frais généraux],Overhead616[[#Headers],[Frais indirectement liés à l''activité - Autres fonctions - Chargé(e) de direction]])</f>
        <v>0</v>
      </c>
      <c r="AL20" s="53">
        <f>SUMIFS(Fonctionnement[Montant],Fonctionnement[Allocation],Overhead616[[#This Row],[Fonction]],Fonctionnement[Frais généraux],Overhead616[[#Headers],[Frais indirectement liés à l''activité - Autres fonctions - Direction générale]])</f>
        <v>0</v>
      </c>
    </row>
    <row r="21" spans="1:38" x14ac:dyDescent="0.25">
      <c r="G21" t="s">
        <v>109</v>
      </c>
      <c r="H21" s="476" t="s">
        <v>629</v>
      </c>
      <c r="I21" t="s">
        <v>276</v>
      </c>
      <c r="J21" t="s">
        <v>335</v>
      </c>
      <c r="O21" s="476" t="s">
        <v>610</v>
      </c>
      <c r="P21" s="477">
        <f>SUMIF(Fonctionnement[Allocation],O21,Fonctionnement[Montant])</f>
        <v>0</v>
      </c>
      <c r="Q21" s="477">
        <f>SUMIF(CCTSAS[Allocation fonctions],VariablesInternes[[#This Row],[Fonction]],CCTSAS[Total éligible])</f>
        <v>0</v>
      </c>
      <c r="R21" s="477">
        <f>SUMIF(SalCommune[Allocations fonctions],VariablesInternes[[#This Row],[Fonction]],SalCommune[Total éligible])</f>
        <v>0</v>
      </c>
      <c r="T21" s="502">
        <f>VariablesInternes[[#Totals],[FF]]+VariablesInternes[[#Totals],[FP SAS]]+VariablesInternes[[#Totals],[FP Commune]]-RecettesInterne[[#Totals],[Recettes]]+U3+VariablesInternesCOVID[[#Totals],[Frais de personnel supplémentaire COVID-19 CCT SAS]]+VariablesInternesCOVID[[#Totals],[Frais de personnel supplémentaire COVID-19 COMMUNE]]</f>
        <v>0</v>
      </c>
      <c r="X21" t="s">
        <v>610</v>
      </c>
      <c r="Y21" s="50">
        <f>SUMIF(Fonctionnement[Allocation],W21,Fonctionnement[Montant])</f>
        <v>0</v>
      </c>
      <c r="Z21" s="484">
        <f>SUMIF(CCTSAS[Allocation fonctions],VariablesInternesCOVID[[#This Row],[Fonction FP]],CCTSAS[[Frais Personnel supplémentaire Crise Ukrainienne ]])</f>
        <v>0</v>
      </c>
      <c r="AA21" s="484">
        <f>SUMIF(CCTSAS[Allocation fonctions],VariablesInternesCOVID[[#This Row],[Fonction FP]],CCTSAS[Frais de personnel supplémentaire COVID-19])</f>
        <v>0</v>
      </c>
      <c r="AB21" s="484">
        <f>SUMIF(SalCommune[Allocations fonctions],VariablesInternesCOVID[[#This Row],[Fonction FP]],SalCommune[Frais de personnel supplémentaire Crise Ukrainienne])</f>
        <v>0</v>
      </c>
      <c r="AC21" s="484">
        <f>SUMIF(SalCommune[Allocations fonctions],VariablesInternesCOVID[[#This Row],[Fonction FP]],SalCommune[Frais de personnel supplémentaire COVID-19])</f>
        <v>0</v>
      </c>
      <c r="AE21" s="738"/>
      <c r="AF21" s="57" t="s">
        <v>109</v>
      </c>
      <c r="AG21" s="52">
        <f>SUMIFS(Fonctionnement[Montant],Fonctionnement[Allocation],Overhead616[[#This Row],[Fonction]],Fonctionnement[Frais généraux],Overhead616[[#Headers],[Frais directement liés à l''activité - Encadrement]])</f>
        <v>0</v>
      </c>
      <c r="AH21" s="52">
        <f>SUMIFS(Fonctionnement[Montant],Fonctionnement[Allocation],Overhead616[[#This Row],[Fonction]],Fonctionnement[Frais généraux],Overhead616[[#Headers],[Frais directement liés à l''activité - Logistique]])</f>
        <v>0</v>
      </c>
      <c r="AI21" s="52">
        <f>SUMIFS(Fonctionnement[Montant],Fonctionnement[Allocation],Overhead616[[#This Row],[Fonction]],Fonctionnement[Frais généraux],Overhead616[[#Headers],[Frais indirectement liés à l''activité - Prévues par la loi ]])</f>
        <v>0</v>
      </c>
      <c r="AJ21" s="52">
        <f>SUMIFS(Fonctionnement[Montant],Fonctionnement[Allocation],Overhead616[[#This Row],[Fonction]],Fonctionnement[Frais généraux],Overhead616[[#Headers],[Frais indirectement liés à l''activité - Autres fonctions - Administration / Logistique]])</f>
        <v>0</v>
      </c>
      <c r="AK21" s="52">
        <f>SUMIFS(Fonctionnement[Montant],Fonctionnement[Allocation],Overhead616[[#This Row],[Fonction]],Fonctionnement[Frais généraux],Overhead616[[#Headers],[Frais indirectement liés à l''activité - Autres fonctions - Chargé(e) de direction]])</f>
        <v>0</v>
      </c>
      <c r="AL21" s="53">
        <f>SUMIFS(Fonctionnement[Montant],Fonctionnement[Allocation],Overhead616[[#This Row],[Fonction]],Fonctionnement[Frais généraux],Overhead616[[#Headers],[Frais indirectement liés à l''activité - Autres fonctions - Direction générale]])</f>
        <v>0</v>
      </c>
    </row>
    <row r="22" spans="1:38" ht="15.75" thickBot="1" x14ac:dyDescent="0.3">
      <c r="G22" t="s">
        <v>610</v>
      </c>
      <c r="I22" t="s">
        <v>274</v>
      </c>
      <c r="J22" t="s">
        <v>336</v>
      </c>
      <c r="O22" s="476" t="s">
        <v>627</v>
      </c>
      <c r="P22" s="477">
        <f>SUMIF(Fonctionnement[Allocation],O22,Fonctionnement[Montant])</f>
        <v>0</v>
      </c>
      <c r="Q22" s="477">
        <f>SUMIF(CCTSAS[Allocation fonctions],VariablesInternes[[#This Row],[Fonction]],CCTSAS[Total éligible])</f>
        <v>0</v>
      </c>
      <c r="R22" s="477">
        <f>SUMIF(SalCommune[Allocations fonctions],VariablesInternes[[#This Row],[Fonction]],SalCommune[Total éligible])</f>
        <v>0</v>
      </c>
      <c r="T22" s="30"/>
      <c r="X22" t="s">
        <v>627</v>
      </c>
      <c r="Y22" s="50">
        <f>SUMIF(Fonctionnement[Allocation],W22,Fonctionnement[Montant])</f>
        <v>0</v>
      </c>
      <c r="Z22" s="484">
        <f>SUMIF(CCTSAS[Allocation fonctions],VariablesInternesCOVID[[#This Row],[Fonction FP]],CCTSAS[[Frais Personnel supplémentaire Crise Ukrainienne ]])</f>
        <v>0</v>
      </c>
      <c r="AA22" s="484">
        <f>SUMIF(CCTSAS[Allocation fonctions],VariablesInternesCOVID[[#This Row],[Fonction FP]],CCTSAS[Frais de personnel supplémentaire COVID-19])</f>
        <v>0</v>
      </c>
      <c r="AB22" s="484">
        <f>SUMIF(SalCommune[Allocations fonctions],VariablesInternesCOVID[[#This Row],[Fonction FP]],SalCommune[Frais de personnel supplémentaire Crise Ukrainienne])</f>
        <v>0</v>
      </c>
      <c r="AC22" s="484">
        <f>SUMIF(SalCommune[Allocations fonctions],VariablesInternesCOVID[[#This Row],[Fonction FP]],SalCommune[Frais de personnel supplémentaire COVID-19])</f>
        <v>0</v>
      </c>
      <c r="AE22" s="739"/>
      <c r="AF22" s="62" t="s">
        <v>610</v>
      </c>
      <c r="AG22" s="54">
        <f>SUMIFS(Fonctionnement[Montant],Fonctionnement[Allocation],Overhead616[[#This Row],[Fonction]],Fonctionnement[Frais généraux],Overhead616[[#Headers],[Frais directement liés à l''activité - Encadrement]])</f>
        <v>0</v>
      </c>
      <c r="AH22" s="54">
        <f>SUMIFS(Fonctionnement[Montant],Fonctionnement[Allocation],Overhead616[[#This Row],[Fonction]],Fonctionnement[Frais généraux],Overhead616[[#Headers],[Frais directement liés à l''activité - Logistique]])</f>
        <v>0</v>
      </c>
      <c r="AI22" s="54">
        <f>SUMIFS(Fonctionnement[Montant],Fonctionnement[Allocation],Overhead616[[#This Row],[Fonction]],Fonctionnement[Frais généraux],Overhead616[[#Headers],[Frais indirectement liés à l''activité - Prévues par la loi ]])</f>
        <v>0</v>
      </c>
      <c r="AJ22" s="54">
        <f>SUMIFS(Fonctionnement[Montant],Fonctionnement[Allocation],Overhead616[[#This Row],[Fonction]],Fonctionnement[Frais généraux],Overhead616[[#Headers],[Frais indirectement liés à l''activité - Autres fonctions - Administration / Logistique]])</f>
        <v>0</v>
      </c>
      <c r="AK22" s="54">
        <f>SUMIFS(Fonctionnement[Montant],Fonctionnement[Allocation],Overhead616[[#This Row],[Fonction]],Fonctionnement[Frais généraux],Overhead616[[#Headers],[Frais indirectement liés à l''activité - Autres fonctions - Chargé(e) de direction]])</f>
        <v>0</v>
      </c>
      <c r="AL22" s="55">
        <f>SUMIFS(Fonctionnement[Montant],Fonctionnement[Allocation],Overhead616[[#This Row],[Fonction]],Fonctionnement[Frais généraux],Overhead616[[#Headers],[Frais indirectement liés à l''activité - Autres fonctions - Direction générale]])</f>
        <v>0</v>
      </c>
    </row>
    <row r="23" spans="1:38" x14ac:dyDescent="0.25">
      <c r="G23" s="476" t="s">
        <v>627</v>
      </c>
      <c r="H23" s="23"/>
      <c r="I23" t="s">
        <v>277</v>
      </c>
      <c r="J23" t="s">
        <v>337</v>
      </c>
      <c r="O23" s="476" t="s">
        <v>628</v>
      </c>
      <c r="P23" s="477">
        <f>SUMIF(Fonctionnement[Allocation],O23,Fonctionnement[Montant])</f>
        <v>0</v>
      </c>
      <c r="Q23" s="477">
        <f>SUMIF(CCTSAS[Allocation fonctions],VariablesInternes[[#This Row],[Fonction]],CCTSAS[Total éligible])</f>
        <v>0</v>
      </c>
      <c r="R23" s="477">
        <f>SUMIF(SalCommune[Allocations fonctions],VariablesInternes[[#This Row],[Fonction]],SalCommune[Total éligible])</f>
        <v>0</v>
      </c>
      <c r="X23" t="s">
        <v>628</v>
      </c>
      <c r="Y23" s="50">
        <f>SUMIF(Fonctionnement[Allocation],W23,Fonctionnement[Montant])</f>
        <v>0</v>
      </c>
      <c r="Z23" s="484">
        <f>SUMIF(CCTSAS[Allocation fonctions],VariablesInternesCOVID[[#This Row],[Fonction FP]],CCTSAS[[Frais Personnel supplémentaire Crise Ukrainienne ]])</f>
        <v>0</v>
      </c>
      <c r="AA23" s="484">
        <f>SUMIF(CCTSAS[Allocation fonctions],VariablesInternesCOVID[[#This Row],[Fonction FP]],CCTSAS[Frais de personnel supplémentaire COVID-19])</f>
        <v>0</v>
      </c>
      <c r="AB23" s="484">
        <f>SUMIF(SalCommune[Allocations fonctions],VariablesInternesCOVID[[#This Row],[Fonction FP]],SalCommune[Frais de personnel supplémentaire Crise Ukrainienne])</f>
        <v>0</v>
      </c>
      <c r="AC23" s="484">
        <f>SUMIF(SalCommune[Allocations fonctions],VariablesInternesCOVID[[#This Row],[Fonction FP]],SalCommune[Frais de personnel supplémentaire COVID-19])</f>
        <v>0</v>
      </c>
      <c r="AE23" s="737" t="s">
        <v>358</v>
      </c>
      <c r="AF23" s="57" t="s">
        <v>93</v>
      </c>
      <c r="AG23" s="52">
        <f>SUMIFS(CCTSAS[Total éligible],CCTSAS[Allocation fonctions],Overhead616[[#This Row],[Fonction]],CCTSAS[Frais généraux],Overhead616[[#Headers],[Frais directement liés à l''activité - Encadrement]])</f>
        <v>0</v>
      </c>
      <c r="AH23" s="52">
        <f>SUMIFS(CCTSAS[Total éligible],CCTSAS[Allocation fonctions],Overhead616[[#This Row],[Fonction]],CCTSAS[Frais généraux],Overhead616[[#Headers],[Frais directement liés à l''activité - Logistique]])</f>
        <v>0</v>
      </c>
      <c r="AI23" s="52">
        <f>SUMIFS(CCTSAS[Total éligible],CCTSAS[Allocation fonctions],Overhead616[[#This Row],[Fonction]],CCTSAS[Frais généraux],Overhead616[[#Headers],[Frais indirectement liés à l''activité - Prévues par la loi ]])</f>
        <v>0</v>
      </c>
      <c r="AJ23" s="52">
        <f>SUMIFS(CCTSAS[Total éligible],CCTSAS[Allocation fonctions],Overhead616[[#This Row],[Fonction]],CCTSAS[Frais généraux],Overhead616[[#Headers],[Frais indirectement liés à l''activité - Autres fonctions - Administration / Logistique]])</f>
        <v>0</v>
      </c>
      <c r="AK23" s="52">
        <f>SUMIFS(CCTSAS[Total éligible],CCTSAS[Allocation fonctions],Overhead616[[#This Row],[Fonction]],CCTSAS[Frais généraux],Overhead616[[#Headers],[Frais indirectement liés à l''activité - Autres fonctions - Chargé(e) de direction]])</f>
        <v>0</v>
      </c>
      <c r="AL23" s="53">
        <f>SUMIFS(CCTSAS[Total éligible],CCTSAS[Allocation fonctions],Overhead616[[#This Row],[Fonction]],CCTSAS[Frais généraux],Overhead616[[#Headers],[Frais indirectement liés à l''activité - Autres fonctions - Direction générale]])</f>
        <v>0</v>
      </c>
    </row>
    <row r="24" spans="1:38" x14ac:dyDescent="0.25">
      <c r="G24" s="476" t="s">
        <v>628</v>
      </c>
      <c r="I24" t="s">
        <v>278</v>
      </c>
      <c r="J24" t="s">
        <v>338</v>
      </c>
      <c r="O24" s="476" t="s">
        <v>629</v>
      </c>
      <c r="P24" s="477">
        <f>SUMIF(Fonctionnement[Allocation],O24,Fonctionnement[Montant])</f>
        <v>0</v>
      </c>
      <c r="Q24" s="477">
        <f>SUMIF(CCTSAS[Allocation fonctions],VariablesInternes[[#This Row],[Fonction]],CCTSAS[Total éligible])</f>
        <v>0</v>
      </c>
      <c r="R24" s="477">
        <f>SUMIF(SalCommune[Allocations fonctions],VariablesInternes[[#This Row],[Fonction]],SalCommune[Total éligible])</f>
        <v>0</v>
      </c>
      <c r="X24" t="s">
        <v>629</v>
      </c>
      <c r="Y24" s="50">
        <f>SUMIF(Fonctionnement[Allocation],W24,Fonctionnement[Montant])</f>
        <v>0</v>
      </c>
      <c r="Z24" s="484">
        <f>SUMIF(CCTSAS[Allocation fonctions],VariablesInternesCOVID[[#This Row],[Fonction FP]],CCTSAS[[Frais Personnel supplémentaire Crise Ukrainienne ]])</f>
        <v>0</v>
      </c>
      <c r="AA24" s="484">
        <f>SUMIF(CCTSAS[Allocation fonctions],VariablesInternesCOVID[[#This Row],[Fonction FP]],CCTSAS[Frais de personnel supplémentaire COVID-19])</f>
        <v>0</v>
      </c>
      <c r="AB24" s="484">
        <f>SUMIF(SalCommune[Allocations fonctions],VariablesInternesCOVID[[#This Row],[Fonction FP]],SalCommune[Frais de personnel supplémentaire Crise Ukrainienne])</f>
        <v>0</v>
      </c>
      <c r="AC24" s="484">
        <f>SUMIF(SalCommune[Allocations fonctions],VariablesInternesCOVID[[#This Row],[Fonction FP]],SalCommune[Frais de personnel supplémentaire COVID-19])</f>
        <v>0</v>
      </c>
      <c r="AE24" s="738"/>
      <c r="AF24" s="57" t="s">
        <v>94</v>
      </c>
      <c r="AG24" s="52">
        <f>SUMIFS(CCTSAS[Total éligible],CCTSAS[Allocation fonctions],Overhead616[[#This Row],[Fonction]],CCTSAS[Frais généraux],Overhead616[[#Headers],[Frais directement liés à l''activité - Encadrement]])</f>
        <v>0</v>
      </c>
      <c r="AH24" s="52">
        <f>SUMIFS(CCTSAS[Total éligible],CCTSAS[Allocation fonctions],Overhead616[[#This Row],[Fonction]],CCTSAS[Frais généraux],Overhead616[[#Headers],[Frais directement liés à l''activité - Logistique]])</f>
        <v>0</v>
      </c>
      <c r="AI24" s="52">
        <f>SUMIFS(CCTSAS[Total éligible],CCTSAS[Allocation fonctions],Overhead616[[#This Row],[Fonction]],CCTSAS[Frais généraux],Overhead616[[#Headers],[Frais indirectement liés à l''activité - Prévues par la loi ]])</f>
        <v>0</v>
      </c>
      <c r="AJ24" s="52">
        <f>SUMIFS(CCTSAS[Total éligible],CCTSAS[Allocation fonctions],Overhead616[[#This Row],[Fonction]],CCTSAS[Frais généraux],Overhead616[[#Headers],[Frais indirectement liés à l''activité - Autres fonctions - Administration / Logistique]])</f>
        <v>0</v>
      </c>
      <c r="AK24" s="52">
        <f>SUMIFS(CCTSAS[Total éligible],CCTSAS[Allocation fonctions],Overhead616[[#This Row],[Fonction]],CCTSAS[Frais généraux],Overhead616[[#Headers],[Frais indirectement liés à l''activité - Autres fonctions - Chargé(e) de direction]])</f>
        <v>0</v>
      </c>
      <c r="AL24" s="53">
        <f>SUMIFS(CCTSAS[Total éligible],CCTSAS[Allocation fonctions],Overhead616[[#This Row],[Fonction]],CCTSAS[Frais généraux],Overhead616[[#Headers],[Frais indirectement liés à l''activité - Autres fonctions - Direction générale]])</f>
        <v>0</v>
      </c>
    </row>
    <row r="25" spans="1:38" x14ac:dyDescent="0.25">
      <c r="G25" s="476" t="s">
        <v>629</v>
      </c>
      <c r="I25" t="s">
        <v>279</v>
      </c>
      <c r="J25" t="s">
        <v>339</v>
      </c>
      <c r="O25" s="476" t="s">
        <v>657</v>
      </c>
      <c r="P25" s="477">
        <f>SUMIF(Fonctionnement[Allocation],O25,Fonctionnement[Montant])</f>
        <v>0</v>
      </c>
      <c r="Q25" s="477">
        <f>SUMIF(CCTSAS[Allocation fonctions],VariablesInternes[[#This Row],[Fonction]],CCTSAS[Total éligible])</f>
        <v>0</v>
      </c>
      <c r="R25" s="477">
        <f>SUMIF(SalCommune[Allocations fonctions],VariablesInternes[[#This Row],[Fonction]],SalCommune[Total éligible])</f>
        <v>0</v>
      </c>
      <c r="W25" t="s">
        <v>31</v>
      </c>
      <c r="Y25" s="77">
        <f>SUBTOTAL(109,VariablesInternesCOVID[FF])</f>
        <v>0</v>
      </c>
      <c r="Z25" s="77">
        <f>SUBTOTAL(109,VariablesInternesCOVID[Frais Personnel supplémentaire Crise Ukrainienne CCT SAS])</f>
        <v>0</v>
      </c>
      <c r="AA25" s="77">
        <f>SUBTOTAL(109,VariablesInternesCOVID[Frais de personnel supplémentaire COVID-19 CCT SAS])</f>
        <v>0</v>
      </c>
      <c r="AB25" s="77">
        <f>SUBTOTAL(109,VariablesInternesCOVID[Frais Personnel supplémentaire Crise Ukrainienne COMMUNE])</f>
        <v>0</v>
      </c>
      <c r="AC25" s="77">
        <f>SUBTOTAL(109,VariablesInternesCOVID[Frais de personnel supplémentaire COVID-19 COMMUNE])</f>
        <v>0</v>
      </c>
      <c r="AE25" s="738"/>
      <c r="AF25" s="57" t="s">
        <v>95</v>
      </c>
      <c r="AG25" s="52">
        <f>SUMIFS(CCTSAS[Total éligible],CCTSAS[Allocation fonctions],Overhead616[[#This Row],[Fonction]],CCTSAS[Frais généraux],Overhead616[[#Headers],[Frais directement liés à l''activité - Encadrement]])</f>
        <v>0</v>
      </c>
      <c r="AH25" s="52">
        <f>SUMIFS(CCTSAS[Total éligible],CCTSAS[Allocation fonctions],Overhead616[[#This Row],[Fonction]],CCTSAS[Frais généraux],Overhead616[[#Headers],[Frais directement liés à l''activité - Logistique]])</f>
        <v>0</v>
      </c>
      <c r="AI25" s="52">
        <f>SUMIFS(CCTSAS[Total éligible],CCTSAS[Allocation fonctions],Overhead616[[#This Row],[Fonction]],CCTSAS[Frais généraux],Overhead616[[#Headers],[Frais indirectement liés à l''activité - Prévues par la loi ]])</f>
        <v>0</v>
      </c>
      <c r="AJ25" s="52">
        <f>SUMIFS(CCTSAS[Total éligible],CCTSAS[Allocation fonctions],Overhead616[[#This Row],[Fonction]],CCTSAS[Frais généraux],Overhead616[[#Headers],[Frais indirectement liés à l''activité - Autres fonctions - Administration / Logistique]])</f>
        <v>0</v>
      </c>
      <c r="AK25" s="52">
        <f>SUMIFS(CCTSAS[Total éligible],CCTSAS[Allocation fonctions],Overhead616[[#This Row],[Fonction]],CCTSAS[Frais généraux],Overhead616[[#Headers],[Frais indirectement liés à l''activité - Autres fonctions - Chargé(e) de direction]])</f>
        <v>0</v>
      </c>
      <c r="AL25" s="53">
        <f>SUMIFS(CCTSAS[Total éligible],CCTSAS[Allocation fonctions],Overhead616[[#This Row],[Fonction]],CCTSAS[Frais généraux],Overhead616[[#Headers],[Frais indirectement liés à l''activité - Autres fonctions - Direction générale]])</f>
        <v>0</v>
      </c>
    </row>
    <row r="26" spans="1:38" x14ac:dyDescent="0.25">
      <c r="G26" s="476"/>
      <c r="I26" t="s">
        <v>280</v>
      </c>
      <c r="J26" t="s">
        <v>340</v>
      </c>
      <c r="O26" s="476" t="s">
        <v>31</v>
      </c>
      <c r="P26" s="478">
        <f>SUBTOTAL(109,VariablesInternes[FF])</f>
        <v>0</v>
      </c>
      <c r="Q26" s="478">
        <f>SUBTOTAL(109,VariablesInternes[FP SAS])</f>
        <v>0</v>
      </c>
      <c r="R26" s="478">
        <f>SUBTOTAL(109,VariablesInternes[FP Commune])</f>
        <v>0</v>
      </c>
      <c r="AE26" s="738"/>
      <c r="AF26" s="57" t="s">
        <v>96</v>
      </c>
      <c r="AG26" s="52">
        <f>SUMIFS(CCTSAS[Total éligible],CCTSAS[Allocation fonctions],Overhead616[[#This Row],[Fonction]],CCTSAS[Frais généraux],Overhead616[[#Headers],[Frais directement liés à l''activité - Encadrement]])</f>
        <v>0</v>
      </c>
      <c r="AH26" s="52">
        <f>SUMIFS(CCTSAS[Total éligible],CCTSAS[Allocation fonctions],Overhead616[[#This Row],[Fonction]],CCTSAS[Frais généraux],Overhead616[[#Headers],[Frais directement liés à l''activité - Logistique]])</f>
        <v>0</v>
      </c>
      <c r="AI26" s="52">
        <f>SUMIFS(CCTSAS[Total éligible],CCTSAS[Allocation fonctions],Overhead616[[#This Row],[Fonction]],CCTSAS[Frais généraux],Overhead616[[#Headers],[Frais indirectement liés à l''activité - Prévues par la loi ]])</f>
        <v>0</v>
      </c>
      <c r="AJ26" s="52">
        <f>SUMIFS(CCTSAS[Total éligible],CCTSAS[Allocation fonctions],Overhead616[[#This Row],[Fonction]],CCTSAS[Frais généraux],Overhead616[[#Headers],[Frais indirectement liés à l''activité - Autres fonctions - Administration / Logistique]])</f>
        <v>0</v>
      </c>
      <c r="AK26" s="52">
        <f>SUMIFS(CCTSAS[Total éligible],CCTSAS[Allocation fonctions],Overhead616[[#This Row],[Fonction]],CCTSAS[Frais généraux],Overhead616[[#Headers],[Frais indirectement liés à l''activité - Autres fonctions - Chargé(e) de direction]])</f>
        <v>0</v>
      </c>
      <c r="AL26" s="53">
        <f>SUMIFS(CCTSAS[Total éligible],CCTSAS[Allocation fonctions],Overhead616[[#This Row],[Fonction]],CCTSAS[Frais généraux],Overhead616[[#Headers],[Frais indirectement liés à l''activité - Autres fonctions - Direction générale]])</f>
        <v>0</v>
      </c>
    </row>
    <row r="27" spans="1:38" x14ac:dyDescent="0.25">
      <c r="G27" s="23"/>
      <c r="I27" t="s">
        <v>281</v>
      </c>
      <c r="J27" t="s">
        <v>341</v>
      </c>
      <c r="AE27" s="738"/>
      <c r="AF27" s="57" t="s">
        <v>97</v>
      </c>
      <c r="AG27" s="52">
        <f>SUMIFS(CCTSAS[Total éligible],CCTSAS[Allocation fonctions],Overhead616[[#This Row],[Fonction]],CCTSAS[Frais généraux],Overhead616[[#Headers],[Frais directement liés à l''activité - Encadrement]])</f>
        <v>0</v>
      </c>
      <c r="AH27" s="52">
        <f>SUMIFS(CCTSAS[Total éligible],CCTSAS[Allocation fonctions],Overhead616[[#This Row],[Fonction]],CCTSAS[Frais généraux],Overhead616[[#Headers],[Frais directement liés à l''activité - Logistique]])</f>
        <v>0</v>
      </c>
      <c r="AI27" s="52">
        <f>SUMIFS(CCTSAS[Total éligible],CCTSAS[Allocation fonctions],Overhead616[[#This Row],[Fonction]],CCTSAS[Frais généraux],Overhead616[[#Headers],[Frais indirectement liés à l''activité - Prévues par la loi ]])</f>
        <v>0</v>
      </c>
      <c r="AJ27" s="52">
        <f>SUMIFS(CCTSAS[Total éligible],CCTSAS[Allocation fonctions],Overhead616[[#This Row],[Fonction]],CCTSAS[Frais généraux],Overhead616[[#Headers],[Frais indirectement liés à l''activité - Autres fonctions - Administration / Logistique]])</f>
        <v>0</v>
      </c>
      <c r="AK27" s="52">
        <f>SUMIFS(CCTSAS[Total éligible],CCTSAS[Allocation fonctions],Overhead616[[#This Row],[Fonction]],CCTSAS[Frais généraux],Overhead616[[#Headers],[Frais indirectement liés à l''activité - Autres fonctions - Chargé(e) de direction]])</f>
        <v>0</v>
      </c>
      <c r="AL27" s="53">
        <f>SUMIFS(CCTSAS[Total éligible],CCTSAS[Allocation fonctions],Overhead616[[#This Row],[Fonction]],CCTSAS[Frais généraux],Overhead616[[#Headers],[Frais indirectement liés à l''activité - Autres fonctions - Direction générale]])</f>
        <v>0</v>
      </c>
    </row>
    <row r="28" spans="1:38" x14ac:dyDescent="0.25">
      <c r="I28" t="s">
        <v>282</v>
      </c>
      <c r="J28" t="s">
        <v>342</v>
      </c>
      <c r="AE28" s="738"/>
      <c r="AF28" s="57" t="s">
        <v>111</v>
      </c>
      <c r="AG28" s="52">
        <f>SUMIFS(CCTSAS[Total éligible],CCTSAS[Allocation fonctions],Overhead616[[#This Row],[Fonction]],CCTSAS[Frais généraux],Overhead616[[#Headers],[Frais directement liés à l''activité - Encadrement]])</f>
        <v>0</v>
      </c>
      <c r="AH28" s="52">
        <f>SUMIFS(CCTSAS[Total éligible],CCTSAS[Allocation fonctions],Overhead616[[#This Row],[Fonction]],CCTSAS[Frais généraux],Overhead616[[#Headers],[Frais directement liés à l''activité - Logistique]])</f>
        <v>0</v>
      </c>
      <c r="AI28" s="52">
        <f>SUMIFS(CCTSAS[Total éligible],CCTSAS[Allocation fonctions],Overhead616[[#This Row],[Fonction]],CCTSAS[Frais généraux],Overhead616[[#Headers],[Frais indirectement liés à l''activité - Prévues par la loi ]])</f>
        <v>0</v>
      </c>
      <c r="AJ28" s="52">
        <f>SUMIFS(CCTSAS[Total éligible],CCTSAS[Allocation fonctions],Overhead616[[#This Row],[Fonction]],CCTSAS[Frais généraux],Overhead616[[#Headers],[Frais indirectement liés à l''activité - Autres fonctions - Administration / Logistique]])</f>
        <v>0</v>
      </c>
      <c r="AK28" s="52">
        <f>SUMIFS(CCTSAS[Total éligible],CCTSAS[Allocation fonctions],Overhead616[[#This Row],[Fonction]],CCTSAS[Frais généraux],Overhead616[[#Headers],[Frais indirectement liés à l''activité - Autres fonctions - Chargé(e) de direction]])</f>
        <v>0</v>
      </c>
      <c r="AL28" s="53">
        <f>SUMIFS(CCTSAS[Total éligible],CCTSAS[Allocation fonctions],Overhead616[[#This Row],[Fonction]],CCTSAS[Frais généraux],Overhead616[[#Headers],[Frais indirectement liés à l''activité - Autres fonctions - Direction générale]])</f>
        <v>0</v>
      </c>
    </row>
    <row r="29" spans="1:38" x14ac:dyDescent="0.25">
      <c r="I29" t="s">
        <v>283</v>
      </c>
      <c r="J29" t="s">
        <v>343</v>
      </c>
      <c r="AE29" s="738"/>
      <c r="AF29" s="57" t="s">
        <v>98</v>
      </c>
      <c r="AG29" s="52">
        <f>SUMIFS(CCTSAS[Total éligible],CCTSAS[Allocation fonctions],Overhead616[[#This Row],[Fonction]],CCTSAS[Frais généraux],Overhead616[[#Headers],[Frais directement liés à l''activité - Encadrement]])</f>
        <v>0</v>
      </c>
      <c r="AH29" s="52">
        <f>SUMIFS(CCTSAS[Total éligible],CCTSAS[Allocation fonctions],Overhead616[[#This Row],[Fonction]],CCTSAS[Frais généraux],Overhead616[[#Headers],[Frais directement liés à l''activité - Logistique]])</f>
        <v>0</v>
      </c>
      <c r="AI29" s="52">
        <f>SUMIFS(CCTSAS[Total éligible],CCTSAS[Allocation fonctions],Overhead616[[#This Row],[Fonction]],CCTSAS[Frais généraux],Overhead616[[#Headers],[Frais indirectement liés à l''activité - Prévues par la loi ]])</f>
        <v>0</v>
      </c>
      <c r="AJ29" s="52">
        <f>SUMIFS(CCTSAS[Total éligible],CCTSAS[Allocation fonctions],Overhead616[[#This Row],[Fonction]],CCTSAS[Frais généraux],Overhead616[[#Headers],[Frais indirectement liés à l''activité - Autres fonctions - Administration / Logistique]])</f>
        <v>0</v>
      </c>
      <c r="AK29" s="52">
        <f>SUMIFS(CCTSAS[Total éligible],CCTSAS[Allocation fonctions],Overhead616[[#This Row],[Fonction]],CCTSAS[Frais généraux],Overhead616[[#Headers],[Frais indirectement liés à l''activité - Autres fonctions - Chargé(e) de direction]])</f>
        <v>0</v>
      </c>
      <c r="AL29" s="53">
        <f>SUMIFS(CCTSAS[Total éligible],CCTSAS[Allocation fonctions],Overhead616[[#This Row],[Fonction]],CCTSAS[Frais généraux],Overhead616[[#Headers],[Frais indirectement liés à l''activité - Autres fonctions - Direction générale]])</f>
        <v>0</v>
      </c>
    </row>
    <row r="30" spans="1:38" x14ac:dyDescent="0.25">
      <c r="I30" t="s">
        <v>284</v>
      </c>
      <c r="J30" t="s">
        <v>344</v>
      </c>
      <c r="AE30" s="738"/>
      <c r="AF30" s="57" t="s">
        <v>99</v>
      </c>
      <c r="AG30" s="52">
        <f>SUMIFS(CCTSAS[Total éligible],CCTSAS[Allocation fonctions],Overhead616[[#This Row],[Fonction]],CCTSAS[Frais généraux],Overhead616[[#Headers],[Frais directement liés à l''activité - Encadrement]])</f>
        <v>0</v>
      </c>
      <c r="AH30" s="52">
        <f>SUMIFS(CCTSAS[Total éligible],CCTSAS[Allocation fonctions],Overhead616[[#This Row],[Fonction]],CCTSAS[Frais généraux],Overhead616[[#Headers],[Frais directement liés à l''activité - Logistique]])</f>
        <v>0</v>
      </c>
      <c r="AI30" s="52">
        <f>SUMIFS(CCTSAS[Total éligible],CCTSAS[Allocation fonctions],Overhead616[[#This Row],[Fonction]],CCTSAS[Frais généraux],Overhead616[[#Headers],[Frais indirectement liés à l''activité - Prévues par la loi ]])</f>
        <v>0</v>
      </c>
      <c r="AJ30" s="52">
        <f>SUMIFS(CCTSAS[Total éligible],CCTSAS[Allocation fonctions],Overhead616[[#This Row],[Fonction]],CCTSAS[Frais généraux],Overhead616[[#Headers],[Frais indirectement liés à l''activité - Autres fonctions - Administration / Logistique]])</f>
        <v>0</v>
      </c>
      <c r="AK30" s="52">
        <f>SUMIFS(CCTSAS[Total éligible],CCTSAS[Allocation fonctions],Overhead616[[#This Row],[Fonction]],CCTSAS[Frais généraux],Overhead616[[#Headers],[Frais indirectement liés à l''activité - Autres fonctions - Chargé(e) de direction]])</f>
        <v>0</v>
      </c>
      <c r="AL30" s="53">
        <f>SUMIFS(CCTSAS[Total éligible],CCTSAS[Allocation fonctions],Overhead616[[#This Row],[Fonction]],CCTSAS[Frais généraux],Overhead616[[#Headers],[Frais indirectement liés à l''activité - Autres fonctions - Direction générale]])</f>
        <v>0</v>
      </c>
    </row>
    <row r="31" spans="1:38" x14ac:dyDescent="0.25">
      <c r="I31" t="s">
        <v>285</v>
      </c>
      <c r="J31" t="s">
        <v>199</v>
      </c>
      <c r="AE31" s="738"/>
      <c r="AF31" s="57" t="s">
        <v>100</v>
      </c>
      <c r="AG31" s="52">
        <f>SUMIFS(CCTSAS[Total éligible],CCTSAS[Allocation fonctions],Overhead616[[#This Row],[Fonction]],CCTSAS[Frais généraux],Overhead616[[#Headers],[Frais directement liés à l''activité - Encadrement]])</f>
        <v>0</v>
      </c>
      <c r="AH31" s="52">
        <f>SUMIFS(CCTSAS[Total éligible],CCTSAS[Allocation fonctions],Overhead616[[#This Row],[Fonction]],CCTSAS[Frais généraux],Overhead616[[#Headers],[Frais directement liés à l''activité - Logistique]])</f>
        <v>0</v>
      </c>
      <c r="AI31" s="52">
        <f>SUMIFS(CCTSAS[Total éligible],CCTSAS[Allocation fonctions],Overhead616[[#This Row],[Fonction]],CCTSAS[Frais généraux],Overhead616[[#Headers],[Frais indirectement liés à l''activité - Prévues par la loi ]])</f>
        <v>0</v>
      </c>
      <c r="AJ31" s="52">
        <f>SUMIFS(CCTSAS[Total éligible],CCTSAS[Allocation fonctions],Overhead616[[#This Row],[Fonction]],CCTSAS[Frais généraux],Overhead616[[#Headers],[Frais indirectement liés à l''activité - Autres fonctions - Administration / Logistique]])</f>
        <v>0</v>
      </c>
      <c r="AK31" s="52">
        <f>SUMIFS(CCTSAS[Total éligible],CCTSAS[Allocation fonctions],Overhead616[[#This Row],[Fonction]],CCTSAS[Frais généraux],Overhead616[[#Headers],[Frais indirectement liés à l''activité - Autres fonctions - Chargé(e) de direction]])</f>
        <v>0</v>
      </c>
      <c r="AL31" s="53">
        <f>SUMIFS(CCTSAS[Total éligible],CCTSAS[Allocation fonctions],Overhead616[[#This Row],[Fonction]],CCTSAS[Frais généraux],Overhead616[[#Headers],[Frais indirectement liés à l''activité - Autres fonctions - Direction générale]])</f>
        <v>0</v>
      </c>
    </row>
    <row r="32" spans="1:38" x14ac:dyDescent="0.25">
      <c r="I32" t="s">
        <v>286</v>
      </c>
      <c r="J32" t="s">
        <v>708</v>
      </c>
      <c r="AE32" s="738"/>
      <c r="AF32" s="57" t="s">
        <v>101</v>
      </c>
      <c r="AG32" s="52">
        <f>SUMIFS(CCTSAS[Total éligible],CCTSAS[Allocation fonctions],Overhead616[[#This Row],[Fonction]],CCTSAS[Frais généraux],Overhead616[[#Headers],[Frais directement liés à l''activité - Encadrement]])</f>
        <v>0</v>
      </c>
      <c r="AH32" s="52">
        <f>SUMIFS(CCTSAS[Total éligible],CCTSAS[Allocation fonctions],Overhead616[[#This Row],[Fonction]],CCTSAS[Frais généraux],Overhead616[[#Headers],[Frais directement liés à l''activité - Logistique]])</f>
        <v>0</v>
      </c>
      <c r="AI32" s="52">
        <f>SUMIFS(CCTSAS[Total éligible],CCTSAS[Allocation fonctions],Overhead616[[#This Row],[Fonction]],CCTSAS[Frais généraux],Overhead616[[#Headers],[Frais indirectement liés à l''activité - Prévues par la loi ]])</f>
        <v>0</v>
      </c>
      <c r="AJ32" s="52">
        <f>SUMIFS(CCTSAS[Total éligible],CCTSAS[Allocation fonctions],Overhead616[[#This Row],[Fonction]],CCTSAS[Frais généraux],Overhead616[[#Headers],[Frais indirectement liés à l''activité - Autres fonctions - Administration / Logistique]])</f>
        <v>0</v>
      </c>
      <c r="AK32" s="52">
        <f>SUMIFS(CCTSAS[Total éligible],CCTSAS[Allocation fonctions],Overhead616[[#This Row],[Fonction]],CCTSAS[Frais généraux],Overhead616[[#Headers],[Frais indirectement liés à l''activité - Autres fonctions - Chargé(e) de direction]])</f>
        <v>0</v>
      </c>
      <c r="AL32" s="53">
        <f>SUMIFS(CCTSAS[Total éligible],CCTSAS[Allocation fonctions],Overhead616[[#This Row],[Fonction]],CCTSAS[Frais généraux],Overhead616[[#Headers],[Frais indirectement liés à l''activité - Autres fonctions - Direction générale]])</f>
        <v>0</v>
      </c>
    </row>
    <row r="33" spans="9:38" x14ac:dyDescent="0.25">
      <c r="I33" t="s">
        <v>287</v>
      </c>
      <c r="J33" t="s">
        <v>345</v>
      </c>
      <c r="AE33" s="738"/>
      <c r="AF33" s="57" t="s">
        <v>102</v>
      </c>
      <c r="AG33" s="52">
        <f>SUMIFS(CCTSAS[Total éligible],CCTSAS[Allocation fonctions],Overhead616[[#This Row],[Fonction]],CCTSAS[Frais généraux],Overhead616[[#Headers],[Frais directement liés à l''activité - Encadrement]])</f>
        <v>0</v>
      </c>
      <c r="AH33" s="52">
        <f>SUMIFS(CCTSAS[Total éligible],CCTSAS[Allocation fonctions],Overhead616[[#This Row],[Fonction]],CCTSAS[Frais généraux],Overhead616[[#Headers],[Frais directement liés à l''activité - Logistique]])</f>
        <v>0</v>
      </c>
      <c r="AI33" s="52">
        <f>SUMIFS(CCTSAS[Total éligible],CCTSAS[Allocation fonctions],Overhead616[[#This Row],[Fonction]],CCTSAS[Frais généraux],Overhead616[[#Headers],[Frais indirectement liés à l''activité - Prévues par la loi ]])</f>
        <v>0</v>
      </c>
      <c r="AJ33" s="52">
        <f>SUMIFS(CCTSAS[Total éligible],CCTSAS[Allocation fonctions],Overhead616[[#This Row],[Fonction]],CCTSAS[Frais généraux],Overhead616[[#Headers],[Frais indirectement liés à l''activité - Autres fonctions - Administration / Logistique]])</f>
        <v>0</v>
      </c>
      <c r="AK33" s="52">
        <f>SUMIFS(CCTSAS[Total éligible],CCTSAS[Allocation fonctions],Overhead616[[#This Row],[Fonction]],CCTSAS[Frais généraux],Overhead616[[#Headers],[Frais indirectement liés à l''activité - Autres fonctions - Chargé(e) de direction]])</f>
        <v>0</v>
      </c>
      <c r="AL33" s="53">
        <f>SUMIFS(CCTSAS[Total éligible],CCTSAS[Allocation fonctions],Overhead616[[#This Row],[Fonction]],CCTSAS[Frais généraux],Overhead616[[#Headers],[Frais indirectement liés à l''activité - Autres fonctions - Direction générale]])</f>
        <v>0</v>
      </c>
    </row>
    <row r="34" spans="9:38" x14ac:dyDescent="0.25">
      <c r="I34" t="s">
        <v>288</v>
      </c>
      <c r="J34" t="s">
        <v>346</v>
      </c>
      <c r="AE34" s="738"/>
      <c r="AF34" s="57" t="s">
        <v>103</v>
      </c>
      <c r="AG34" s="52">
        <f>SUMIFS(CCTSAS[Total éligible],CCTSAS[Allocation fonctions],Overhead616[[#This Row],[Fonction]],CCTSAS[Frais généraux],Overhead616[[#Headers],[Frais directement liés à l''activité - Encadrement]])</f>
        <v>0</v>
      </c>
      <c r="AH34" s="52">
        <f>SUMIFS(CCTSAS[Total éligible],CCTSAS[Allocation fonctions],Overhead616[[#This Row],[Fonction]],CCTSAS[Frais généraux],Overhead616[[#Headers],[Frais directement liés à l''activité - Logistique]])</f>
        <v>0</v>
      </c>
      <c r="AI34" s="52">
        <f>SUMIFS(CCTSAS[Total éligible],CCTSAS[Allocation fonctions],Overhead616[[#This Row],[Fonction]],CCTSAS[Frais généraux],Overhead616[[#Headers],[Frais indirectement liés à l''activité - Prévues par la loi ]])</f>
        <v>0</v>
      </c>
      <c r="AJ34" s="52">
        <f>SUMIFS(CCTSAS[Total éligible],CCTSAS[Allocation fonctions],Overhead616[[#This Row],[Fonction]],CCTSAS[Frais généraux],Overhead616[[#Headers],[Frais indirectement liés à l''activité - Autres fonctions - Administration / Logistique]])</f>
        <v>0</v>
      </c>
      <c r="AK34" s="52">
        <f>SUMIFS(CCTSAS[Total éligible],CCTSAS[Allocation fonctions],Overhead616[[#This Row],[Fonction]],CCTSAS[Frais généraux],Overhead616[[#Headers],[Frais indirectement liés à l''activité - Autres fonctions - Chargé(e) de direction]])</f>
        <v>0</v>
      </c>
      <c r="AL34" s="53">
        <f>SUMIFS(CCTSAS[Total éligible],CCTSAS[Allocation fonctions],Overhead616[[#This Row],[Fonction]],CCTSAS[Frais généraux],Overhead616[[#Headers],[Frais indirectement liés à l''activité - Autres fonctions - Direction générale]])</f>
        <v>0</v>
      </c>
    </row>
    <row r="35" spans="9:38" x14ac:dyDescent="0.25">
      <c r="I35" t="s">
        <v>289</v>
      </c>
      <c r="J35" t="s">
        <v>347</v>
      </c>
      <c r="AE35" s="738"/>
      <c r="AF35" s="57" t="s">
        <v>104</v>
      </c>
      <c r="AG35" s="52">
        <f>SUMIFS(CCTSAS[Total éligible],CCTSAS[Allocation fonctions],Overhead616[[#This Row],[Fonction]],CCTSAS[Frais généraux],Overhead616[[#Headers],[Frais directement liés à l''activité - Encadrement]])</f>
        <v>0</v>
      </c>
      <c r="AH35" s="52">
        <f>SUMIFS(CCTSAS[Total éligible],CCTSAS[Allocation fonctions],Overhead616[[#This Row],[Fonction]],CCTSAS[Frais généraux],Overhead616[[#Headers],[Frais directement liés à l''activité - Logistique]])</f>
        <v>0</v>
      </c>
      <c r="AI35" s="52">
        <f>SUMIFS(CCTSAS[Total éligible],CCTSAS[Allocation fonctions],Overhead616[[#This Row],[Fonction]],CCTSAS[Frais généraux],Overhead616[[#Headers],[Frais indirectement liés à l''activité - Prévues par la loi ]])</f>
        <v>0</v>
      </c>
      <c r="AJ35" s="52">
        <f>SUMIFS(CCTSAS[Total éligible],CCTSAS[Allocation fonctions],Overhead616[[#This Row],[Fonction]],CCTSAS[Frais généraux],Overhead616[[#Headers],[Frais indirectement liés à l''activité - Autres fonctions - Administration / Logistique]])</f>
        <v>0</v>
      </c>
      <c r="AK35" s="52">
        <f>SUMIFS(CCTSAS[Total éligible],CCTSAS[Allocation fonctions],Overhead616[[#This Row],[Fonction]],CCTSAS[Frais généraux],Overhead616[[#Headers],[Frais indirectement liés à l''activité - Autres fonctions - Chargé(e) de direction]])</f>
        <v>0</v>
      </c>
      <c r="AL35" s="53">
        <f>SUMIFS(CCTSAS[Total éligible],CCTSAS[Allocation fonctions],Overhead616[[#This Row],[Fonction]],CCTSAS[Frais généraux],Overhead616[[#Headers],[Frais indirectement liés à l''activité - Autres fonctions - Direction générale]])</f>
        <v>0</v>
      </c>
    </row>
    <row r="36" spans="9:38" x14ac:dyDescent="0.25">
      <c r="I36" t="s">
        <v>290</v>
      </c>
      <c r="AE36" s="738"/>
      <c r="AF36" s="57" t="s">
        <v>105</v>
      </c>
      <c r="AG36" s="52">
        <f>SUMIFS(CCTSAS[Total éligible],CCTSAS[Allocation fonctions],Overhead616[[#This Row],[Fonction]],CCTSAS[Frais généraux],Overhead616[[#Headers],[Frais directement liés à l''activité - Encadrement]])</f>
        <v>0</v>
      </c>
      <c r="AH36" s="52">
        <f>SUMIFS(CCTSAS[Total éligible],CCTSAS[Allocation fonctions],Overhead616[[#This Row],[Fonction]],CCTSAS[Frais généraux],Overhead616[[#Headers],[Frais directement liés à l''activité - Logistique]])</f>
        <v>0</v>
      </c>
      <c r="AI36" s="52">
        <f>SUMIFS(CCTSAS[Total éligible],CCTSAS[Allocation fonctions],Overhead616[[#This Row],[Fonction]],CCTSAS[Frais généraux],Overhead616[[#Headers],[Frais indirectement liés à l''activité - Prévues par la loi ]])</f>
        <v>0</v>
      </c>
      <c r="AJ36" s="52">
        <f>SUMIFS(CCTSAS[Total éligible],CCTSAS[Allocation fonctions],Overhead616[[#This Row],[Fonction]],CCTSAS[Frais généraux],Overhead616[[#Headers],[Frais indirectement liés à l''activité - Autres fonctions - Administration / Logistique]])</f>
        <v>0</v>
      </c>
      <c r="AK36" s="52">
        <f>SUMIFS(CCTSAS[Total éligible],CCTSAS[Allocation fonctions],Overhead616[[#This Row],[Fonction]],CCTSAS[Frais généraux],Overhead616[[#Headers],[Frais indirectement liés à l''activité - Autres fonctions - Chargé(e) de direction]])</f>
        <v>0</v>
      </c>
      <c r="AL36" s="53">
        <f>SUMIFS(CCTSAS[Total éligible],CCTSAS[Allocation fonctions],Overhead616[[#This Row],[Fonction]],CCTSAS[Frais généraux],Overhead616[[#Headers],[Frais indirectement liés à l''activité - Autres fonctions - Direction générale]])</f>
        <v>0</v>
      </c>
    </row>
    <row r="37" spans="9:38" x14ac:dyDescent="0.25">
      <c r="I37" t="s">
        <v>292</v>
      </c>
      <c r="AE37" s="738"/>
      <c r="AF37" s="57" t="s">
        <v>106</v>
      </c>
      <c r="AG37" s="52">
        <f>SUMIFS(CCTSAS[Total éligible],CCTSAS[Allocation fonctions],Overhead616[[#This Row],[Fonction]],CCTSAS[Frais généraux],Overhead616[[#Headers],[Frais directement liés à l''activité - Encadrement]])</f>
        <v>0</v>
      </c>
      <c r="AH37" s="52">
        <f>SUMIFS(CCTSAS[Total éligible],CCTSAS[Allocation fonctions],Overhead616[[#This Row],[Fonction]],CCTSAS[Frais généraux],Overhead616[[#Headers],[Frais directement liés à l''activité - Logistique]])</f>
        <v>0</v>
      </c>
      <c r="AI37" s="52">
        <f>SUMIFS(CCTSAS[Total éligible],CCTSAS[Allocation fonctions],Overhead616[[#This Row],[Fonction]],CCTSAS[Frais généraux],Overhead616[[#Headers],[Frais indirectement liés à l''activité - Prévues par la loi ]])</f>
        <v>0</v>
      </c>
      <c r="AJ37" s="52">
        <f>SUMIFS(CCTSAS[Total éligible],CCTSAS[Allocation fonctions],Overhead616[[#This Row],[Fonction]],CCTSAS[Frais généraux],Overhead616[[#Headers],[Frais indirectement liés à l''activité - Autres fonctions - Administration / Logistique]])</f>
        <v>0</v>
      </c>
      <c r="AK37" s="52">
        <f>SUMIFS(CCTSAS[Total éligible],CCTSAS[Allocation fonctions],Overhead616[[#This Row],[Fonction]],CCTSAS[Frais généraux],Overhead616[[#Headers],[Frais indirectement liés à l''activité - Autres fonctions - Chargé(e) de direction]])</f>
        <v>0</v>
      </c>
      <c r="AL37" s="53">
        <f>SUMIFS(CCTSAS[Total éligible],CCTSAS[Allocation fonctions],Overhead616[[#This Row],[Fonction]],CCTSAS[Frais généraux],Overhead616[[#Headers],[Frais indirectement liés à l''activité - Autres fonctions - Direction générale]])</f>
        <v>0</v>
      </c>
    </row>
    <row r="38" spans="9:38" x14ac:dyDescent="0.25">
      <c r="I38" t="s">
        <v>294</v>
      </c>
      <c r="AE38" s="738"/>
      <c r="AF38" s="57" t="s">
        <v>107</v>
      </c>
      <c r="AG38" s="52">
        <f>SUMIFS(CCTSAS[Total éligible],CCTSAS[Allocation fonctions],Overhead616[[#This Row],[Fonction]],CCTSAS[Frais généraux],Overhead616[[#Headers],[Frais directement liés à l''activité - Encadrement]])</f>
        <v>0</v>
      </c>
      <c r="AH38" s="52">
        <f>SUMIFS(CCTSAS[Total éligible],CCTSAS[Allocation fonctions],Overhead616[[#This Row],[Fonction]],CCTSAS[Frais généraux],Overhead616[[#Headers],[Frais directement liés à l''activité - Logistique]])</f>
        <v>0</v>
      </c>
      <c r="AI38" s="52">
        <f>SUMIFS(CCTSAS[Total éligible],CCTSAS[Allocation fonctions],Overhead616[[#This Row],[Fonction]],CCTSAS[Frais généraux],Overhead616[[#Headers],[Frais indirectement liés à l''activité - Prévues par la loi ]])</f>
        <v>0</v>
      </c>
      <c r="AJ38" s="52">
        <f>SUMIFS(CCTSAS[Total éligible],CCTSAS[Allocation fonctions],Overhead616[[#This Row],[Fonction]],CCTSAS[Frais généraux],Overhead616[[#Headers],[Frais indirectement liés à l''activité - Autres fonctions - Administration / Logistique]])</f>
        <v>0</v>
      </c>
      <c r="AK38" s="52">
        <f>SUMIFS(CCTSAS[Total éligible],CCTSAS[Allocation fonctions],Overhead616[[#This Row],[Fonction]],CCTSAS[Frais généraux],Overhead616[[#Headers],[Frais indirectement liés à l''activité - Autres fonctions - Chargé(e) de direction]])</f>
        <v>0</v>
      </c>
      <c r="AL38" s="53">
        <f>SUMIFS(CCTSAS[Total éligible],CCTSAS[Allocation fonctions],Overhead616[[#This Row],[Fonction]],CCTSAS[Frais généraux],Overhead616[[#Headers],[Frais indirectement liés à l''activité - Autres fonctions - Direction générale]])</f>
        <v>0</v>
      </c>
    </row>
    <row r="39" spans="9:38" x14ac:dyDescent="0.25">
      <c r="I39" t="s">
        <v>293</v>
      </c>
      <c r="AE39" s="738"/>
      <c r="AF39" s="57" t="s">
        <v>108</v>
      </c>
      <c r="AG39" s="52">
        <f>SUMIFS(CCTSAS[Total éligible],CCTSAS[Allocation fonctions],Overhead616[[#This Row],[Fonction]],CCTSAS[Frais généraux],Overhead616[[#Headers],[Frais directement liés à l''activité - Encadrement]])</f>
        <v>0</v>
      </c>
      <c r="AH39" s="52">
        <f>SUMIFS(CCTSAS[Total éligible],CCTSAS[Allocation fonctions],Overhead616[[#This Row],[Fonction]],CCTSAS[Frais généraux],Overhead616[[#Headers],[Frais directement liés à l''activité - Logistique]])</f>
        <v>0</v>
      </c>
      <c r="AI39" s="52">
        <f>SUMIFS(CCTSAS[Total éligible],CCTSAS[Allocation fonctions],Overhead616[[#This Row],[Fonction]],CCTSAS[Frais généraux],Overhead616[[#Headers],[Frais indirectement liés à l''activité - Prévues par la loi ]])</f>
        <v>0</v>
      </c>
      <c r="AJ39" s="52">
        <f>SUMIFS(CCTSAS[Total éligible],CCTSAS[Allocation fonctions],Overhead616[[#This Row],[Fonction]],CCTSAS[Frais généraux],Overhead616[[#Headers],[Frais indirectement liés à l''activité - Autres fonctions - Administration / Logistique]])</f>
        <v>0</v>
      </c>
      <c r="AK39" s="52">
        <f>SUMIFS(CCTSAS[Total éligible],CCTSAS[Allocation fonctions],Overhead616[[#This Row],[Fonction]],CCTSAS[Frais généraux],Overhead616[[#Headers],[Frais indirectement liés à l''activité - Autres fonctions - Chargé(e) de direction]])</f>
        <v>0</v>
      </c>
      <c r="AL39" s="53">
        <f>SUMIFS(CCTSAS[Total éligible],CCTSAS[Allocation fonctions],Overhead616[[#This Row],[Fonction]],CCTSAS[Frais généraux],Overhead616[[#Headers],[Frais indirectement liés à l''activité - Autres fonctions - Direction générale]])</f>
        <v>0</v>
      </c>
    </row>
    <row r="40" spans="9:38" x14ac:dyDescent="0.25">
      <c r="I40" t="s">
        <v>291</v>
      </c>
      <c r="AE40" s="738"/>
      <c r="AF40" s="57" t="s">
        <v>109</v>
      </c>
      <c r="AG40" s="52">
        <f>SUMIFS(CCTSAS[Total éligible],CCTSAS[Allocation fonctions],Overhead616[[#This Row],[Fonction]],CCTSAS[Frais généraux],Overhead616[[#Headers],[Frais directement liés à l''activité - Encadrement]])</f>
        <v>0</v>
      </c>
      <c r="AH40" s="52">
        <f>SUMIFS(CCTSAS[Total éligible],CCTSAS[Allocation fonctions],Overhead616[[#This Row],[Fonction]],CCTSAS[Frais généraux],Overhead616[[#Headers],[Frais directement liés à l''activité - Logistique]])</f>
        <v>0</v>
      </c>
      <c r="AI40" s="52">
        <f>SUMIFS(CCTSAS[Total éligible],CCTSAS[Allocation fonctions],Overhead616[[#This Row],[Fonction]],CCTSAS[Frais généraux],Overhead616[[#Headers],[Frais indirectement liés à l''activité - Prévues par la loi ]])</f>
        <v>0</v>
      </c>
      <c r="AJ40" s="52">
        <f>SUMIFS(CCTSAS[Total éligible],CCTSAS[Allocation fonctions],Overhead616[[#This Row],[Fonction]],CCTSAS[Frais généraux],Overhead616[[#Headers],[Frais indirectement liés à l''activité - Autres fonctions - Administration / Logistique]])</f>
        <v>0</v>
      </c>
      <c r="AK40" s="52">
        <f>SUMIFS(CCTSAS[Total éligible],CCTSAS[Allocation fonctions],Overhead616[[#This Row],[Fonction]],CCTSAS[Frais généraux],Overhead616[[#Headers],[Frais indirectement liés à l''activité - Autres fonctions - Chargé(e) de direction]])</f>
        <v>0</v>
      </c>
      <c r="AL40" s="53">
        <f>SUMIFS(CCTSAS[Total éligible],CCTSAS[Allocation fonctions],Overhead616[[#This Row],[Fonction]],CCTSAS[Frais généraux],Overhead616[[#Headers],[Frais indirectement liés à l''activité - Autres fonctions - Direction générale]])</f>
        <v>0</v>
      </c>
    </row>
    <row r="41" spans="9:38" ht="15.75" thickBot="1" x14ac:dyDescent="0.3">
      <c r="I41" t="s">
        <v>295</v>
      </c>
      <c r="AE41" s="739"/>
      <c r="AF41" s="57" t="s">
        <v>610</v>
      </c>
      <c r="AG41" s="52">
        <f>SUMIFS(CCTSAS[Total éligible],CCTSAS[Allocation fonctions],Overhead616[[#This Row],[Fonction]],CCTSAS[Frais généraux],Overhead616[[#Headers],[Frais directement liés à l''activité - Encadrement]])</f>
        <v>0</v>
      </c>
      <c r="AH41" s="52">
        <f>SUMIFS(CCTSAS[Total éligible],CCTSAS[Allocation fonctions],Overhead616[[#This Row],[Fonction]],CCTSAS[Frais généraux],Overhead616[[#Headers],[Frais directement liés à l''activité - Logistique]])</f>
        <v>0</v>
      </c>
      <c r="AI41" s="52">
        <f>SUMIFS(CCTSAS[Total éligible],CCTSAS[Allocation fonctions],Overhead616[[#This Row],[Fonction]],CCTSAS[Frais généraux],Overhead616[[#Headers],[Frais indirectement liés à l''activité - Prévues par la loi ]])</f>
        <v>0</v>
      </c>
      <c r="AJ41" s="52">
        <f>SUMIFS(CCTSAS[Total éligible],CCTSAS[Allocation fonctions],Overhead616[[#This Row],[Fonction]],CCTSAS[Frais généraux],Overhead616[[#Headers],[Frais indirectement liés à l''activité - Autres fonctions - Administration / Logistique]])</f>
        <v>0</v>
      </c>
      <c r="AK41" s="52">
        <f>SUMIFS(CCTSAS[Total éligible],CCTSAS[Allocation fonctions],Overhead616[[#This Row],[Fonction]],CCTSAS[Frais généraux],Overhead616[[#Headers],[Frais indirectement liés à l''activité - Autres fonctions - Chargé(e) de direction]])</f>
        <v>0</v>
      </c>
      <c r="AL41" s="53">
        <f>SUMIFS(CCTSAS[Total éligible],CCTSAS[Allocation fonctions],Overhead616[[#This Row],[Fonction]],CCTSAS[Frais généraux],Overhead616[[#Headers],[Frais indirectement liés à l''activité - Autres fonctions - Direction générale]])</f>
        <v>0</v>
      </c>
    </row>
    <row r="42" spans="9:38" x14ac:dyDescent="0.25">
      <c r="I42" t="s">
        <v>296</v>
      </c>
      <c r="AE42" s="737" t="s">
        <v>359</v>
      </c>
      <c r="AF42" s="59" t="s">
        <v>93</v>
      </c>
      <c r="AG42" s="60">
        <f>SUMIFS(SalCommune[Total éligible],SalCommune[Allocations fonctions],Overhead616[[#This Row],[Fonction]],SalCommune[Frais généraux],Overhead616[[#Headers],[Frais directement liés à l''activité - Encadrement]])</f>
        <v>0</v>
      </c>
      <c r="AH42" s="60">
        <f>SUMIFS(SalCommune[Total éligible],SalCommune[Allocations fonctions],Overhead616[[#This Row],[Fonction]],SalCommune[Frais généraux],Overhead616[[#Headers],[Frais directement liés à l''activité - Logistique]])</f>
        <v>0</v>
      </c>
      <c r="AI42" s="60">
        <f>SUMIFS(SalCommune[Total éligible],SalCommune[Allocations fonctions],Overhead616[[#This Row],[Fonction]],SalCommune[Frais généraux],Overhead616[[#Headers],[Frais indirectement liés à l''activité - Prévues par la loi ]])</f>
        <v>0</v>
      </c>
      <c r="AJ42" s="60">
        <f>SUMIFS(SalCommune[Total éligible],SalCommune[Allocations fonctions],Overhead616[[#This Row],[Fonction]],SalCommune[Frais généraux],Overhead616[[#Headers],[Frais indirectement liés à l''activité - Autres fonctions - Administration / Logistique]])</f>
        <v>0</v>
      </c>
      <c r="AK42" s="60">
        <f>SUMIFS(SalCommune[Total éligible],SalCommune[Allocations fonctions],Overhead616[[#This Row],[Fonction]],SalCommune[Frais généraux],Overhead616[[#Headers],[Frais indirectement liés à l''activité - Autres fonctions - Chargé(e) de direction]])</f>
        <v>0</v>
      </c>
      <c r="AL42" s="61">
        <f>SUMIFS(SalCommune[Total éligible],SalCommune[Allocations fonctions],Overhead616[[#This Row],[Fonction]],SalCommune[Frais généraux],Overhead616[[#Headers],[Frais indirectement liés à l''activité - Autres fonctions - Direction générale]])</f>
        <v>0</v>
      </c>
    </row>
    <row r="43" spans="9:38" x14ac:dyDescent="0.25">
      <c r="I43" t="s">
        <v>297</v>
      </c>
      <c r="AE43" s="738"/>
      <c r="AF43" s="57" t="s">
        <v>94</v>
      </c>
      <c r="AG43" s="52">
        <f>SUMIFS(SalCommune[Total éligible],SalCommune[Allocations fonctions],Overhead616[[#This Row],[Fonction]],SalCommune[Frais généraux],Overhead616[[#Headers],[Frais directement liés à l''activité - Encadrement]])</f>
        <v>0</v>
      </c>
      <c r="AH43" s="52">
        <f>SUMIFS(SalCommune[Total éligible],SalCommune[Allocations fonctions],Overhead616[[#This Row],[Fonction]],SalCommune[Frais généraux],Overhead616[[#Headers],[Frais directement liés à l''activité - Logistique]])</f>
        <v>0</v>
      </c>
      <c r="AI43" s="52">
        <f>SUMIFS(SalCommune[Total éligible],SalCommune[Allocations fonctions],Overhead616[[#This Row],[Fonction]],SalCommune[Frais généraux],Overhead616[[#Headers],[Frais indirectement liés à l''activité - Prévues par la loi ]])</f>
        <v>0</v>
      </c>
      <c r="AJ43" s="52">
        <f>SUMIFS(SalCommune[Total éligible],SalCommune[Allocations fonctions],Overhead616[[#This Row],[Fonction]],SalCommune[Frais généraux],Overhead616[[#Headers],[Frais indirectement liés à l''activité - Autres fonctions - Administration / Logistique]])</f>
        <v>0</v>
      </c>
      <c r="AK43" s="52">
        <f>SUMIFS(SalCommune[Total éligible],SalCommune[Allocations fonctions],Overhead616[[#This Row],[Fonction]],SalCommune[Frais généraux],Overhead616[[#Headers],[Frais indirectement liés à l''activité - Autres fonctions - Chargé(e) de direction]])</f>
        <v>0</v>
      </c>
      <c r="AL43" s="53">
        <f>SUMIFS(SalCommune[Total éligible],SalCommune[Allocations fonctions],Overhead616[[#This Row],[Fonction]],SalCommune[Frais généraux],Overhead616[[#Headers],[Frais indirectement liés à l''activité - Autres fonctions - Direction générale]])</f>
        <v>0</v>
      </c>
    </row>
    <row r="44" spans="9:38" x14ac:dyDescent="0.25">
      <c r="I44" t="s">
        <v>725</v>
      </c>
      <c r="AE44" s="738"/>
      <c r="AF44" s="57" t="s">
        <v>95</v>
      </c>
      <c r="AG44" s="52">
        <f>SUMIFS(SalCommune[Total éligible],SalCommune[Allocations fonctions],Overhead616[[#This Row],[Fonction]],SalCommune[Frais généraux],Overhead616[[#Headers],[Frais directement liés à l''activité - Encadrement]])</f>
        <v>0</v>
      </c>
      <c r="AH44" s="52">
        <f>SUMIFS(SalCommune[Total éligible],SalCommune[Allocations fonctions],Overhead616[[#This Row],[Fonction]],SalCommune[Frais généraux],Overhead616[[#Headers],[Frais directement liés à l''activité - Logistique]])</f>
        <v>0</v>
      </c>
      <c r="AI44" s="52">
        <f>SUMIFS(SalCommune[Total éligible],SalCommune[Allocations fonctions],Overhead616[[#This Row],[Fonction]],SalCommune[Frais généraux],Overhead616[[#Headers],[Frais indirectement liés à l''activité - Prévues par la loi ]])</f>
        <v>0</v>
      </c>
      <c r="AJ44" s="52">
        <f>SUMIFS(SalCommune[Total éligible],SalCommune[Allocations fonctions],Overhead616[[#This Row],[Fonction]],SalCommune[Frais généraux],Overhead616[[#Headers],[Frais indirectement liés à l''activité - Autres fonctions - Administration / Logistique]])</f>
        <v>0</v>
      </c>
      <c r="AK44" s="52">
        <f>SUMIFS(SalCommune[Total éligible],SalCommune[Allocations fonctions],Overhead616[[#This Row],[Fonction]],SalCommune[Frais généraux],Overhead616[[#Headers],[Frais indirectement liés à l''activité - Autres fonctions - Chargé(e) de direction]])</f>
        <v>0</v>
      </c>
      <c r="AL44" s="53">
        <f>SUMIFS(SalCommune[Total éligible],SalCommune[Allocations fonctions],Overhead616[[#This Row],[Fonction]],SalCommune[Frais généraux],Overhead616[[#Headers],[Frais indirectement liés à l''activité - Autres fonctions - Direction générale]])</f>
        <v>0</v>
      </c>
    </row>
    <row r="45" spans="9:38" x14ac:dyDescent="0.25">
      <c r="I45" t="s">
        <v>255</v>
      </c>
      <c r="AE45" s="738"/>
      <c r="AF45" s="57" t="s">
        <v>96</v>
      </c>
      <c r="AG45" s="52">
        <f>SUMIFS(SalCommune[Total éligible],SalCommune[Allocations fonctions],Overhead616[[#This Row],[Fonction]],SalCommune[Frais généraux],Overhead616[[#Headers],[Frais directement liés à l''activité - Encadrement]])</f>
        <v>0</v>
      </c>
      <c r="AH45" s="52">
        <f>SUMIFS(SalCommune[Total éligible],SalCommune[Allocations fonctions],Overhead616[[#This Row],[Fonction]],SalCommune[Frais généraux],Overhead616[[#Headers],[Frais directement liés à l''activité - Logistique]])</f>
        <v>0</v>
      </c>
      <c r="AI45" s="52">
        <f>SUMIFS(SalCommune[Total éligible],SalCommune[Allocations fonctions],Overhead616[[#This Row],[Fonction]],SalCommune[Frais généraux],Overhead616[[#Headers],[Frais indirectement liés à l''activité - Prévues par la loi ]])</f>
        <v>0</v>
      </c>
      <c r="AJ45" s="52">
        <f>SUMIFS(SalCommune[Total éligible],SalCommune[Allocations fonctions],Overhead616[[#This Row],[Fonction]],SalCommune[Frais généraux],Overhead616[[#Headers],[Frais indirectement liés à l''activité - Autres fonctions - Administration / Logistique]])</f>
        <v>0</v>
      </c>
      <c r="AK45" s="52">
        <f>SUMIFS(SalCommune[Total éligible],SalCommune[Allocations fonctions],Overhead616[[#This Row],[Fonction]],SalCommune[Frais généraux],Overhead616[[#Headers],[Frais indirectement liés à l''activité - Autres fonctions - Chargé(e) de direction]])</f>
        <v>0</v>
      </c>
      <c r="AL45" s="53">
        <f>SUMIFS(SalCommune[Total éligible],SalCommune[Allocations fonctions],Overhead616[[#This Row],[Fonction]],SalCommune[Frais généraux],Overhead616[[#Headers],[Frais indirectement liés à l''activité - Autres fonctions - Direction générale]])</f>
        <v>0</v>
      </c>
    </row>
    <row r="46" spans="9:38" x14ac:dyDescent="0.25">
      <c r="I46" t="s">
        <v>175</v>
      </c>
      <c r="AE46" s="738"/>
      <c r="AF46" s="57" t="s">
        <v>97</v>
      </c>
      <c r="AG46" s="52">
        <f>SUMIFS(SalCommune[Total éligible],SalCommune[Allocations fonctions],Overhead616[[#This Row],[Fonction]],SalCommune[Frais généraux],Overhead616[[#Headers],[Frais directement liés à l''activité - Encadrement]])</f>
        <v>0</v>
      </c>
      <c r="AH46" s="52">
        <f>SUMIFS(SalCommune[Total éligible],SalCommune[Allocations fonctions],Overhead616[[#This Row],[Fonction]],SalCommune[Frais généraux],Overhead616[[#Headers],[Frais directement liés à l''activité - Logistique]])</f>
        <v>0</v>
      </c>
      <c r="AI46" s="52">
        <f>SUMIFS(SalCommune[Total éligible],SalCommune[Allocations fonctions],Overhead616[[#This Row],[Fonction]],SalCommune[Frais généraux],Overhead616[[#Headers],[Frais indirectement liés à l''activité - Prévues par la loi ]])</f>
        <v>0</v>
      </c>
      <c r="AJ46" s="52">
        <f>SUMIFS(SalCommune[Total éligible],SalCommune[Allocations fonctions],Overhead616[[#This Row],[Fonction]],SalCommune[Frais généraux],Overhead616[[#Headers],[Frais indirectement liés à l''activité - Autres fonctions - Administration / Logistique]])</f>
        <v>0</v>
      </c>
      <c r="AK46" s="52">
        <f>SUMIFS(SalCommune[Total éligible],SalCommune[Allocations fonctions],Overhead616[[#This Row],[Fonction]],SalCommune[Frais généraux],Overhead616[[#Headers],[Frais indirectement liés à l''activité - Autres fonctions - Chargé(e) de direction]])</f>
        <v>0</v>
      </c>
      <c r="AL46" s="53">
        <f>SUMIFS(SalCommune[Total éligible],SalCommune[Allocations fonctions],Overhead616[[#This Row],[Fonction]],SalCommune[Frais généraux],Overhead616[[#Headers],[Frais indirectement liés à l''activité - Autres fonctions - Direction générale]])</f>
        <v>0</v>
      </c>
    </row>
    <row r="47" spans="9:38" x14ac:dyDescent="0.25">
      <c r="I47" t="s">
        <v>177</v>
      </c>
      <c r="AE47" s="738"/>
      <c r="AF47" s="57" t="s">
        <v>111</v>
      </c>
      <c r="AG47" s="52">
        <f>SUMIFS(SalCommune[Total éligible],SalCommune[Allocations fonctions],Overhead616[[#This Row],[Fonction]],SalCommune[Frais généraux],Overhead616[[#Headers],[Frais directement liés à l''activité - Encadrement]])</f>
        <v>0</v>
      </c>
      <c r="AH47" s="52">
        <f>SUMIFS(SalCommune[Total éligible],SalCommune[Allocations fonctions],Overhead616[[#This Row],[Fonction]],SalCommune[Frais généraux],Overhead616[[#Headers],[Frais directement liés à l''activité - Logistique]])</f>
        <v>0</v>
      </c>
      <c r="AI47" s="52">
        <f>SUMIFS(SalCommune[Total éligible],SalCommune[Allocations fonctions],Overhead616[[#This Row],[Fonction]],SalCommune[Frais généraux],Overhead616[[#Headers],[Frais indirectement liés à l''activité - Prévues par la loi ]])</f>
        <v>0</v>
      </c>
      <c r="AJ47" s="52">
        <f>SUMIFS(SalCommune[Total éligible],SalCommune[Allocations fonctions],Overhead616[[#This Row],[Fonction]],SalCommune[Frais généraux],Overhead616[[#Headers],[Frais indirectement liés à l''activité - Autres fonctions - Administration / Logistique]])</f>
        <v>0</v>
      </c>
      <c r="AK47" s="52">
        <f>SUMIFS(SalCommune[Total éligible],SalCommune[Allocations fonctions],Overhead616[[#This Row],[Fonction]],SalCommune[Frais généraux],Overhead616[[#Headers],[Frais indirectement liés à l''activité - Autres fonctions - Chargé(e) de direction]])</f>
        <v>0</v>
      </c>
      <c r="AL47" s="53">
        <f>SUMIFS(SalCommune[Total éligible],SalCommune[Allocations fonctions],Overhead616[[#This Row],[Fonction]],SalCommune[Frais généraux],Overhead616[[#Headers],[Frais indirectement liés à l''activité - Autres fonctions - Direction générale]])</f>
        <v>0</v>
      </c>
    </row>
    <row r="48" spans="9:38" x14ac:dyDescent="0.25">
      <c r="I48" t="s">
        <v>178</v>
      </c>
      <c r="AE48" s="738"/>
      <c r="AF48" s="57" t="s">
        <v>98</v>
      </c>
      <c r="AG48" s="52">
        <f>SUMIFS(SalCommune[Total éligible],SalCommune[Allocations fonctions],Overhead616[[#This Row],[Fonction]],SalCommune[Frais généraux],Overhead616[[#Headers],[Frais directement liés à l''activité - Encadrement]])</f>
        <v>0</v>
      </c>
      <c r="AH48" s="52">
        <f>SUMIFS(SalCommune[Total éligible],SalCommune[Allocations fonctions],Overhead616[[#This Row],[Fonction]],SalCommune[Frais généraux],Overhead616[[#Headers],[Frais directement liés à l''activité - Logistique]])</f>
        <v>0</v>
      </c>
      <c r="AI48" s="52">
        <f>SUMIFS(SalCommune[Total éligible],SalCommune[Allocations fonctions],Overhead616[[#This Row],[Fonction]],SalCommune[Frais généraux],Overhead616[[#Headers],[Frais indirectement liés à l''activité - Prévues par la loi ]])</f>
        <v>0</v>
      </c>
      <c r="AJ48" s="52">
        <f>SUMIFS(SalCommune[Total éligible],SalCommune[Allocations fonctions],Overhead616[[#This Row],[Fonction]],SalCommune[Frais généraux],Overhead616[[#Headers],[Frais indirectement liés à l''activité - Autres fonctions - Administration / Logistique]])</f>
        <v>0</v>
      </c>
      <c r="AK48" s="52">
        <f>SUMIFS(SalCommune[Total éligible],SalCommune[Allocations fonctions],Overhead616[[#This Row],[Fonction]],SalCommune[Frais généraux],Overhead616[[#Headers],[Frais indirectement liés à l''activité - Autres fonctions - Chargé(e) de direction]])</f>
        <v>0</v>
      </c>
      <c r="AL48" s="53">
        <f>SUMIFS(SalCommune[Total éligible],SalCommune[Allocations fonctions],Overhead616[[#This Row],[Fonction]],SalCommune[Frais généraux],Overhead616[[#Headers],[Frais indirectement liés à l''activité - Autres fonctions - Direction générale]])</f>
        <v>0</v>
      </c>
    </row>
    <row r="49" spans="9:38" x14ac:dyDescent="0.25">
      <c r="I49" t="s">
        <v>180</v>
      </c>
      <c r="AE49" s="738"/>
      <c r="AF49" s="57" t="s">
        <v>99</v>
      </c>
      <c r="AG49" s="52">
        <f>SUMIFS(SalCommune[Total éligible],SalCommune[Allocations fonctions],Overhead616[[#This Row],[Fonction]],SalCommune[Frais généraux],Overhead616[[#Headers],[Frais directement liés à l''activité - Encadrement]])</f>
        <v>0</v>
      </c>
      <c r="AH49" s="52">
        <f>SUMIFS(SalCommune[Total éligible],SalCommune[Allocations fonctions],Overhead616[[#This Row],[Fonction]],SalCommune[Frais généraux],Overhead616[[#Headers],[Frais directement liés à l''activité - Logistique]])</f>
        <v>0</v>
      </c>
      <c r="AI49" s="52">
        <f>SUMIFS(SalCommune[Total éligible],SalCommune[Allocations fonctions],Overhead616[[#This Row],[Fonction]],SalCommune[Frais généraux],Overhead616[[#Headers],[Frais indirectement liés à l''activité - Prévues par la loi ]])</f>
        <v>0</v>
      </c>
      <c r="AJ49" s="52">
        <f>SUMIFS(SalCommune[Total éligible],SalCommune[Allocations fonctions],Overhead616[[#This Row],[Fonction]],SalCommune[Frais généraux],Overhead616[[#Headers],[Frais indirectement liés à l''activité - Autres fonctions - Administration / Logistique]])</f>
        <v>0</v>
      </c>
      <c r="AK49" s="52">
        <f>SUMIFS(SalCommune[Total éligible],SalCommune[Allocations fonctions],Overhead616[[#This Row],[Fonction]],SalCommune[Frais généraux],Overhead616[[#Headers],[Frais indirectement liés à l''activité - Autres fonctions - Chargé(e) de direction]])</f>
        <v>0</v>
      </c>
      <c r="AL49" s="53">
        <f>SUMIFS(SalCommune[Total éligible],SalCommune[Allocations fonctions],Overhead616[[#This Row],[Fonction]],SalCommune[Frais généraux],Overhead616[[#Headers],[Frais indirectement liés à l''activité - Autres fonctions - Direction générale]])</f>
        <v>0</v>
      </c>
    </row>
    <row r="50" spans="9:38" x14ac:dyDescent="0.25">
      <c r="I50" t="s">
        <v>181</v>
      </c>
      <c r="AE50" s="738"/>
      <c r="AF50" s="57" t="s">
        <v>100</v>
      </c>
      <c r="AG50" s="52">
        <f>SUMIFS(SalCommune[Total éligible],SalCommune[Allocations fonctions],Overhead616[[#This Row],[Fonction]],SalCommune[Frais généraux],Overhead616[[#Headers],[Frais directement liés à l''activité - Encadrement]])</f>
        <v>0</v>
      </c>
      <c r="AH50" s="52">
        <f>SUMIFS(SalCommune[Total éligible],SalCommune[Allocations fonctions],Overhead616[[#This Row],[Fonction]],SalCommune[Frais généraux],Overhead616[[#Headers],[Frais directement liés à l''activité - Logistique]])</f>
        <v>0</v>
      </c>
      <c r="AI50" s="52">
        <f>SUMIFS(SalCommune[Total éligible],SalCommune[Allocations fonctions],Overhead616[[#This Row],[Fonction]],SalCommune[Frais généraux],Overhead616[[#Headers],[Frais indirectement liés à l''activité - Prévues par la loi ]])</f>
        <v>0</v>
      </c>
      <c r="AJ50" s="52">
        <f>SUMIFS(SalCommune[Total éligible],SalCommune[Allocations fonctions],Overhead616[[#This Row],[Fonction]],SalCommune[Frais généraux],Overhead616[[#Headers],[Frais indirectement liés à l''activité - Autres fonctions - Administration / Logistique]])</f>
        <v>0</v>
      </c>
      <c r="AK50" s="52">
        <f>SUMIFS(SalCommune[Total éligible],SalCommune[Allocations fonctions],Overhead616[[#This Row],[Fonction]],SalCommune[Frais généraux],Overhead616[[#Headers],[Frais indirectement liés à l''activité - Autres fonctions - Chargé(e) de direction]])</f>
        <v>0</v>
      </c>
      <c r="AL50" s="53">
        <f>SUMIFS(SalCommune[Total éligible],SalCommune[Allocations fonctions],Overhead616[[#This Row],[Fonction]],SalCommune[Frais généraux],Overhead616[[#Headers],[Frais indirectement liés à l''activité - Autres fonctions - Direction générale]])</f>
        <v>0</v>
      </c>
    </row>
    <row r="51" spans="9:38" x14ac:dyDescent="0.25">
      <c r="I51" t="s">
        <v>183</v>
      </c>
      <c r="AE51" s="738"/>
      <c r="AF51" s="57" t="s">
        <v>101</v>
      </c>
      <c r="AG51" s="52">
        <f>SUMIFS(SalCommune[Total éligible],SalCommune[Allocations fonctions],Overhead616[[#This Row],[Fonction]],SalCommune[Frais généraux],Overhead616[[#Headers],[Frais directement liés à l''activité - Encadrement]])</f>
        <v>0</v>
      </c>
      <c r="AH51" s="52">
        <f>SUMIFS(SalCommune[Total éligible],SalCommune[Allocations fonctions],Overhead616[[#This Row],[Fonction]],SalCommune[Frais généraux],Overhead616[[#Headers],[Frais directement liés à l''activité - Logistique]])</f>
        <v>0</v>
      </c>
      <c r="AI51" s="52">
        <f>SUMIFS(SalCommune[Total éligible],SalCommune[Allocations fonctions],Overhead616[[#This Row],[Fonction]],SalCommune[Frais généraux],Overhead616[[#Headers],[Frais indirectement liés à l''activité - Prévues par la loi ]])</f>
        <v>0</v>
      </c>
      <c r="AJ51" s="52">
        <f>SUMIFS(SalCommune[Total éligible],SalCommune[Allocations fonctions],Overhead616[[#This Row],[Fonction]],SalCommune[Frais généraux],Overhead616[[#Headers],[Frais indirectement liés à l''activité - Autres fonctions - Administration / Logistique]])</f>
        <v>0</v>
      </c>
      <c r="AK51" s="52">
        <f>SUMIFS(SalCommune[Total éligible],SalCommune[Allocations fonctions],Overhead616[[#This Row],[Fonction]],SalCommune[Frais généraux],Overhead616[[#Headers],[Frais indirectement liés à l''activité - Autres fonctions - Chargé(e) de direction]])</f>
        <v>0</v>
      </c>
      <c r="AL51" s="53">
        <f>SUMIFS(SalCommune[Total éligible],SalCommune[Allocations fonctions],Overhead616[[#This Row],[Fonction]],SalCommune[Frais généraux],Overhead616[[#Headers],[Frais indirectement liés à l''activité - Autres fonctions - Direction générale]])</f>
        <v>0</v>
      </c>
    </row>
    <row r="52" spans="9:38" x14ac:dyDescent="0.25">
      <c r="I52" t="s">
        <v>184</v>
      </c>
      <c r="AE52" s="738"/>
      <c r="AF52" s="57" t="s">
        <v>102</v>
      </c>
      <c r="AG52" s="52">
        <f>SUMIFS(SalCommune[Total éligible],SalCommune[Allocations fonctions],Overhead616[[#This Row],[Fonction]],SalCommune[Frais généraux],Overhead616[[#Headers],[Frais directement liés à l''activité - Encadrement]])</f>
        <v>0</v>
      </c>
      <c r="AH52" s="52">
        <f>SUMIFS(SalCommune[Total éligible],SalCommune[Allocations fonctions],Overhead616[[#This Row],[Fonction]],SalCommune[Frais généraux],Overhead616[[#Headers],[Frais directement liés à l''activité - Logistique]])</f>
        <v>0</v>
      </c>
      <c r="AI52" s="52">
        <f>SUMIFS(SalCommune[Total éligible],SalCommune[Allocations fonctions],Overhead616[[#This Row],[Fonction]],SalCommune[Frais généraux],Overhead616[[#Headers],[Frais indirectement liés à l''activité - Prévues par la loi ]])</f>
        <v>0</v>
      </c>
      <c r="AJ52" s="52">
        <f>SUMIFS(SalCommune[Total éligible],SalCommune[Allocations fonctions],Overhead616[[#This Row],[Fonction]],SalCommune[Frais généraux],Overhead616[[#Headers],[Frais indirectement liés à l''activité - Autres fonctions - Administration / Logistique]])</f>
        <v>0</v>
      </c>
      <c r="AK52" s="52">
        <f>SUMIFS(SalCommune[Total éligible],SalCommune[Allocations fonctions],Overhead616[[#This Row],[Fonction]],SalCommune[Frais généraux],Overhead616[[#Headers],[Frais indirectement liés à l''activité - Autres fonctions - Chargé(e) de direction]])</f>
        <v>0</v>
      </c>
      <c r="AL52" s="53">
        <f>SUMIFS(SalCommune[Total éligible],SalCommune[Allocations fonctions],Overhead616[[#This Row],[Fonction]],SalCommune[Frais généraux],Overhead616[[#Headers],[Frais indirectement liés à l''activité - Autres fonctions - Direction générale]])</f>
        <v>0</v>
      </c>
    </row>
    <row r="53" spans="9:38" x14ac:dyDescent="0.25">
      <c r="I53" t="s">
        <v>186</v>
      </c>
      <c r="AE53" s="738"/>
      <c r="AF53" s="57" t="s">
        <v>103</v>
      </c>
      <c r="AG53" s="52">
        <f>SUMIFS(SalCommune[Total éligible],SalCommune[Allocations fonctions],Overhead616[[#This Row],[Fonction]],SalCommune[Frais généraux],Overhead616[[#Headers],[Frais directement liés à l''activité - Encadrement]])</f>
        <v>0</v>
      </c>
      <c r="AH53" s="52">
        <f>SUMIFS(SalCommune[Total éligible],SalCommune[Allocations fonctions],Overhead616[[#This Row],[Fonction]],SalCommune[Frais généraux],Overhead616[[#Headers],[Frais directement liés à l''activité - Logistique]])</f>
        <v>0</v>
      </c>
      <c r="AI53" s="52">
        <f>SUMIFS(SalCommune[Total éligible],SalCommune[Allocations fonctions],Overhead616[[#This Row],[Fonction]],SalCommune[Frais généraux],Overhead616[[#Headers],[Frais indirectement liés à l''activité - Prévues par la loi ]])</f>
        <v>0</v>
      </c>
      <c r="AJ53" s="52">
        <f>SUMIFS(SalCommune[Total éligible],SalCommune[Allocations fonctions],Overhead616[[#This Row],[Fonction]],SalCommune[Frais généraux],Overhead616[[#Headers],[Frais indirectement liés à l''activité - Autres fonctions - Administration / Logistique]])</f>
        <v>0</v>
      </c>
      <c r="AK53" s="52">
        <f>SUMIFS(SalCommune[Total éligible],SalCommune[Allocations fonctions],Overhead616[[#This Row],[Fonction]],SalCommune[Frais généraux],Overhead616[[#Headers],[Frais indirectement liés à l''activité - Autres fonctions - Chargé(e) de direction]])</f>
        <v>0</v>
      </c>
      <c r="AL53" s="53">
        <f>SUMIFS(SalCommune[Total éligible],SalCommune[Allocations fonctions],Overhead616[[#This Row],[Fonction]],SalCommune[Frais généraux],Overhead616[[#Headers],[Frais indirectement liés à l''activité - Autres fonctions - Direction générale]])</f>
        <v>0</v>
      </c>
    </row>
    <row r="54" spans="9:38" x14ac:dyDescent="0.25">
      <c r="I54" t="s">
        <v>187</v>
      </c>
      <c r="AE54" s="738"/>
      <c r="AF54" s="57" t="s">
        <v>104</v>
      </c>
      <c r="AG54" s="52">
        <f>SUMIFS(SalCommune[Total éligible],SalCommune[Allocations fonctions],Overhead616[[#This Row],[Fonction]],SalCommune[Frais généraux],Overhead616[[#Headers],[Frais directement liés à l''activité - Encadrement]])</f>
        <v>0</v>
      </c>
      <c r="AH54" s="52">
        <f>SUMIFS(SalCommune[Total éligible],SalCommune[Allocations fonctions],Overhead616[[#This Row],[Fonction]],SalCommune[Frais généraux],Overhead616[[#Headers],[Frais directement liés à l''activité - Logistique]])</f>
        <v>0</v>
      </c>
      <c r="AI54" s="52">
        <f>SUMIFS(SalCommune[Total éligible],SalCommune[Allocations fonctions],Overhead616[[#This Row],[Fonction]],SalCommune[Frais généraux],Overhead616[[#Headers],[Frais indirectement liés à l''activité - Prévues par la loi ]])</f>
        <v>0</v>
      </c>
      <c r="AJ54" s="52">
        <f>SUMIFS(SalCommune[Total éligible],SalCommune[Allocations fonctions],Overhead616[[#This Row],[Fonction]],SalCommune[Frais généraux],Overhead616[[#Headers],[Frais indirectement liés à l''activité - Autres fonctions - Administration / Logistique]])</f>
        <v>0</v>
      </c>
      <c r="AK54" s="52">
        <f>SUMIFS(SalCommune[Total éligible],SalCommune[Allocations fonctions],Overhead616[[#This Row],[Fonction]],SalCommune[Frais généraux],Overhead616[[#Headers],[Frais indirectement liés à l''activité - Autres fonctions - Chargé(e) de direction]])</f>
        <v>0</v>
      </c>
      <c r="AL54" s="53">
        <f>SUMIFS(SalCommune[Total éligible],SalCommune[Allocations fonctions],Overhead616[[#This Row],[Fonction]],SalCommune[Frais généraux],Overhead616[[#Headers],[Frais indirectement liés à l''activité - Autres fonctions - Direction générale]])</f>
        <v>0</v>
      </c>
    </row>
    <row r="55" spans="9:38" x14ac:dyDescent="0.25">
      <c r="I55" t="s">
        <v>189</v>
      </c>
      <c r="AE55" s="738"/>
      <c r="AF55" s="57" t="s">
        <v>105</v>
      </c>
      <c r="AG55" s="52">
        <f>SUMIFS(SalCommune[Total éligible],SalCommune[Allocations fonctions],Overhead616[[#This Row],[Fonction]],SalCommune[Frais généraux],Overhead616[[#Headers],[Frais directement liés à l''activité - Encadrement]])</f>
        <v>0</v>
      </c>
      <c r="AH55" s="52">
        <f>SUMIFS(SalCommune[Total éligible],SalCommune[Allocations fonctions],Overhead616[[#This Row],[Fonction]],SalCommune[Frais généraux],Overhead616[[#Headers],[Frais directement liés à l''activité - Logistique]])</f>
        <v>0</v>
      </c>
      <c r="AI55" s="52">
        <f>SUMIFS(SalCommune[Total éligible],SalCommune[Allocations fonctions],Overhead616[[#This Row],[Fonction]],SalCommune[Frais généraux],Overhead616[[#Headers],[Frais indirectement liés à l''activité - Prévues par la loi ]])</f>
        <v>0</v>
      </c>
      <c r="AJ55" s="52">
        <f>SUMIFS(SalCommune[Total éligible],SalCommune[Allocations fonctions],Overhead616[[#This Row],[Fonction]],SalCommune[Frais généraux],Overhead616[[#Headers],[Frais indirectement liés à l''activité - Autres fonctions - Administration / Logistique]])</f>
        <v>0</v>
      </c>
      <c r="AK55" s="52">
        <f>SUMIFS(SalCommune[Total éligible],SalCommune[Allocations fonctions],Overhead616[[#This Row],[Fonction]],SalCommune[Frais généraux],Overhead616[[#Headers],[Frais indirectement liés à l''activité - Autres fonctions - Chargé(e) de direction]])</f>
        <v>0</v>
      </c>
      <c r="AL55" s="53">
        <f>SUMIFS(SalCommune[Total éligible],SalCommune[Allocations fonctions],Overhead616[[#This Row],[Fonction]],SalCommune[Frais généraux],Overhead616[[#Headers],[Frais indirectement liés à l''activité - Autres fonctions - Direction générale]])</f>
        <v>0</v>
      </c>
    </row>
    <row r="56" spans="9:38" x14ac:dyDescent="0.25">
      <c r="I56" t="s">
        <v>192</v>
      </c>
      <c r="AE56" s="738"/>
      <c r="AF56" s="57" t="s">
        <v>106</v>
      </c>
      <c r="AG56" s="52">
        <f>SUMIFS(SalCommune[Total éligible],SalCommune[Allocations fonctions],Overhead616[[#This Row],[Fonction]],SalCommune[Frais généraux],Overhead616[[#Headers],[Frais directement liés à l''activité - Encadrement]])</f>
        <v>0</v>
      </c>
      <c r="AH56" s="52">
        <f>SUMIFS(SalCommune[Total éligible],SalCommune[Allocations fonctions],Overhead616[[#This Row],[Fonction]],SalCommune[Frais généraux],Overhead616[[#Headers],[Frais directement liés à l''activité - Logistique]])</f>
        <v>0</v>
      </c>
      <c r="AI56" s="52">
        <f>SUMIFS(SalCommune[Total éligible],SalCommune[Allocations fonctions],Overhead616[[#This Row],[Fonction]],SalCommune[Frais généraux],Overhead616[[#Headers],[Frais indirectement liés à l''activité - Prévues par la loi ]])</f>
        <v>0</v>
      </c>
      <c r="AJ56" s="52">
        <f>SUMIFS(SalCommune[Total éligible],SalCommune[Allocations fonctions],Overhead616[[#This Row],[Fonction]],SalCommune[Frais généraux],Overhead616[[#Headers],[Frais indirectement liés à l''activité - Autres fonctions - Administration / Logistique]])</f>
        <v>0</v>
      </c>
      <c r="AK56" s="52">
        <f>SUMIFS(SalCommune[Total éligible],SalCommune[Allocations fonctions],Overhead616[[#This Row],[Fonction]],SalCommune[Frais généraux],Overhead616[[#Headers],[Frais indirectement liés à l''activité - Autres fonctions - Chargé(e) de direction]])</f>
        <v>0</v>
      </c>
      <c r="AL56" s="53">
        <f>SUMIFS(SalCommune[Total éligible],SalCommune[Allocations fonctions],Overhead616[[#This Row],[Fonction]],SalCommune[Frais généraux],Overhead616[[#Headers],[Frais indirectement liés à l''activité - Autres fonctions - Direction générale]])</f>
        <v>0</v>
      </c>
    </row>
    <row r="57" spans="9:38" x14ac:dyDescent="0.25">
      <c r="I57" t="s">
        <v>194</v>
      </c>
      <c r="AE57" s="738"/>
      <c r="AF57" s="57" t="s">
        <v>107</v>
      </c>
      <c r="AG57" s="52">
        <f>SUMIFS(SalCommune[Total éligible],SalCommune[Allocations fonctions],Overhead616[[#This Row],[Fonction]],SalCommune[Frais généraux],Overhead616[[#Headers],[Frais directement liés à l''activité - Encadrement]])</f>
        <v>0</v>
      </c>
      <c r="AH57" s="52">
        <f>SUMIFS(SalCommune[Total éligible],SalCommune[Allocations fonctions],Overhead616[[#This Row],[Fonction]],SalCommune[Frais généraux],Overhead616[[#Headers],[Frais directement liés à l''activité - Logistique]])</f>
        <v>0</v>
      </c>
      <c r="AI57" s="52">
        <f>SUMIFS(SalCommune[Total éligible],SalCommune[Allocations fonctions],Overhead616[[#This Row],[Fonction]],SalCommune[Frais généraux],Overhead616[[#Headers],[Frais indirectement liés à l''activité - Prévues par la loi ]])</f>
        <v>0</v>
      </c>
      <c r="AJ57" s="52">
        <f>SUMIFS(SalCommune[Total éligible],SalCommune[Allocations fonctions],Overhead616[[#This Row],[Fonction]],SalCommune[Frais généraux],Overhead616[[#Headers],[Frais indirectement liés à l''activité - Autres fonctions - Administration / Logistique]])</f>
        <v>0</v>
      </c>
      <c r="AK57" s="52">
        <f>SUMIFS(SalCommune[Total éligible],SalCommune[Allocations fonctions],Overhead616[[#This Row],[Fonction]],SalCommune[Frais généraux],Overhead616[[#Headers],[Frais indirectement liés à l''activité - Autres fonctions - Chargé(e) de direction]])</f>
        <v>0</v>
      </c>
      <c r="AL57" s="53">
        <f>SUMIFS(SalCommune[Total éligible],SalCommune[Allocations fonctions],Overhead616[[#This Row],[Fonction]],SalCommune[Frais généraux],Overhead616[[#Headers],[Frais indirectement liés à l''activité - Autres fonctions - Direction générale]])</f>
        <v>0</v>
      </c>
    </row>
    <row r="58" spans="9:38" x14ac:dyDescent="0.25">
      <c r="I58" t="s">
        <v>196</v>
      </c>
      <c r="AE58" s="738"/>
      <c r="AF58" s="57" t="s">
        <v>108</v>
      </c>
      <c r="AG58" s="52">
        <f>SUMIFS(SalCommune[Total éligible],SalCommune[Allocations fonctions],Overhead616[[#This Row],[Fonction]],SalCommune[Frais généraux],Overhead616[[#Headers],[Frais directement liés à l''activité - Encadrement]])</f>
        <v>0</v>
      </c>
      <c r="AH58" s="52">
        <f>SUMIFS(SalCommune[Total éligible],SalCommune[Allocations fonctions],Overhead616[[#This Row],[Fonction]],SalCommune[Frais généraux],Overhead616[[#Headers],[Frais directement liés à l''activité - Logistique]])</f>
        <v>0</v>
      </c>
      <c r="AI58" s="52">
        <f>SUMIFS(SalCommune[Total éligible],SalCommune[Allocations fonctions],Overhead616[[#This Row],[Fonction]],SalCommune[Frais généraux],Overhead616[[#Headers],[Frais indirectement liés à l''activité - Prévues par la loi ]])</f>
        <v>0</v>
      </c>
      <c r="AJ58" s="52">
        <f>SUMIFS(SalCommune[Total éligible],SalCommune[Allocations fonctions],Overhead616[[#This Row],[Fonction]],SalCommune[Frais généraux],Overhead616[[#Headers],[Frais indirectement liés à l''activité - Autres fonctions - Administration / Logistique]])</f>
        <v>0</v>
      </c>
      <c r="AK58" s="52">
        <f>SUMIFS(SalCommune[Total éligible],SalCommune[Allocations fonctions],Overhead616[[#This Row],[Fonction]],SalCommune[Frais généraux],Overhead616[[#Headers],[Frais indirectement liés à l''activité - Autres fonctions - Chargé(e) de direction]])</f>
        <v>0</v>
      </c>
      <c r="AL58" s="53">
        <f>SUMIFS(SalCommune[Total éligible],SalCommune[Allocations fonctions],Overhead616[[#This Row],[Fonction]],SalCommune[Frais généraux],Overhead616[[#Headers],[Frais indirectement liés à l''activité - Autres fonctions - Direction générale]])</f>
        <v>0</v>
      </c>
    </row>
    <row r="59" spans="9:38" x14ac:dyDescent="0.25">
      <c r="I59" t="s">
        <v>198</v>
      </c>
      <c r="AE59" s="738"/>
      <c r="AF59" s="57" t="s">
        <v>109</v>
      </c>
      <c r="AG59" s="52">
        <f>SUMIFS(SalCommune[Total éligible],SalCommune[Allocations fonctions],Overhead616[[#This Row],[Fonction]],SalCommune[Frais généraux],Overhead616[[#Headers],[Frais directement liés à l''activité - Encadrement]])</f>
        <v>0</v>
      </c>
      <c r="AH59" s="52">
        <f>SUMIFS(SalCommune[Total éligible],SalCommune[Allocations fonctions],Overhead616[[#This Row],[Fonction]],SalCommune[Frais généraux],Overhead616[[#Headers],[Frais directement liés à l''activité - Logistique]])</f>
        <v>0</v>
      </c>
      <c r="AI59" s="52">
        <f>SUMIFS(SalCommune[Total éligible],SalCommune[Allocations fonctions],Overhead616[[#This Row],[Fonction]],SalCommune[Frais généraux],Overhead616[[#Headers],[Frais indirectement liés à l''activité - Prévues par la loi ]])</f>
        <v>0</v>
      </c>
      <c r="AJ59" s="52">
        <f>SUMIFS(SalCommune[Total éligible],SalCommune[Allocations fonctions],Overhead616[[#This Row],[Fonction]],SalCommune[Frais généraux],Overhead616[[#Headers],[Frais indirectement liés à l''activité - Autres fonctions - Administration / Logistique]])</f>
        <v>0</v>
      </c>
      <c r="AK59" s="52">
        <f>SUMIFS(SalCommune[Total éligible],SalCommune[Allocations fonctions],Overhead616[[#This Row],[Fonction]],SalCommune[Frais généraux],Overhead616[[#Headers],[Frais indirectement liés à l''activité - Autres fonctions - Chargé(e) de direction]])</f>
        <v>0</v>
      </c>
      <c r="AL59" s="53">
        <f>SUMIFS(SalCommune[Total éligible],SalCommune[Allocations fonctions],Overhead616[[#This Row],[Fonction]],SalCommune[Frais généraux],Overhead616[[#Headers],[Frais indirectement liés à l''activité - Autres fonctions - Direction générale]])</f>
        <v>0</v>
      </c>
    </row>
    <row r="60" spans="9:38" ht="15.75" thickBot="1" x14ac:dyDescent="0.3">
      <c r="I60" t="s">
        <v>153</v>
      </c>
      <c r="AE60" s="739"/>
      <c r="AF60" s="57" t="s">
        <v>610</v>
      </c>
      <c r="AG60" s="52">
        <f>SUMIFS(SalCommune[Total éligible],SalCommune[Allocations fonctions],Overhead616[[#This Row],[Fonction]],SalCommune[Frais généraux],Overhead616[[#Headers],[Frais directement liés à l''activité - Encadrement]])</f>
        <v>0</v>
      </c>
      <c r="AH60" s="52">
        <f>SUMIFS(SalCommune[Total éligible],SalCommune[Allocations fonctions],Overhead616[[#This Row],[Fonction]],SalCommune[Frais généraux],Overhead616[[#Headers],[Frais directement liés à l''activité - Logistique]])</f>
        <v>0</v>
      </c>
      <c r="AI60" s="52">
        <f>SUMIFS(SalCommune[Total éligible],SalCommune[Allocations fonctions],Overhead616[[#This Row],[Fonction]],SalCommune[Frais généraux],Overhead616[[#Headers],[Frais indirectement liés à l''activité - Prévues par la loi ]])</f>
        <v>0</v>
      </c>
      <c r="AJ60" s="52">
        <f>SUMIFS(SalCommune[Total éligible],SalCommune[Allocations fonctions],Overhead616[[#This Row],[Fonction]],SalCommune[Frais généraux],Overhead616[[#Headers],[Frais indirectement liés à l''activité - Autres fonctions - Administration / Logistique]])</f>
        <v>0</v>
      </c>
      <c r="AK60" s="52">
        <f>SUMIFS(SalCommune[Total éligible],SalCommune[Allocations fonctions],Overhead616[[#This Row],[Fonction]],SalCommune[Frais généraux],Overhead616[[#Headers],[Frais indirectement liés à l''activité - Autres fonctions - Chargé(e) de direction]])</f>
        <v>0</v>
      </c>
      <c r="AL60" s="53">
        <f>SUMIFS(SalCommune[Total éligible],SalCommune[Allocations fonctions],Overhead616[[#This Row],[Fonction]],SalCommune[Frais généraux],Overhead616[[#Headers],[Frais indirectement liés à l''activité - Autres fonctions - Direction générale]])</f>
        <v>0</v>
      </c>
    </row>
    <row r="61" spans="9:38" x14ac:dyDescent="0.25">
      <c r="I61" t="s">
        <v>155</v>
      </c>
      <c r="AE61" s="737" t="s">
        <v>395</v>
      </c>
      <c r="AF61" s="59" t="s">
        <v>397</v>
      </c>
      <c r="AG61" s="60">
        <f>SUMIFS(Recettes[Montant],Recettes[Allocation],Overhead616[[#This Row],[Fonction]],Recettes[Frais généraux],Overhead616[[#Headers],[Frais directement liés à l''activité - Encadrement]])</f>
        <v>0</v>
      </c>
      <c r="AH61" s="60">
        <f>SUMIFS(Recettes[Montant],Recettes[Allocation],Overhead616[[#This Row],[Fonction]],Recettes[Frais généraux],Overhead616[[#Headers],[Frais directement liés à l''activité - Logistique]])</f>
        <v>0</v>
      </c>
      <c r="AI61" s="60">
        <f>SUMIFS(Recettes[Montant],Recettes[Allocation],Overhead616[[#This Row],[Fonction]],Recettes[Frais généraux],Overhead616[[#Headers],[Frais indirectement liés à l''activité - Prévues par la loi ]])</f>
        <v>0</v>
      </c>
      <c r="AJ61" s="60">
        <f>SUMIFS(Recettes[Montant],Recettes[Allocation],Overhead616[[#This Row],[Fonction]],Recettes[Frais généraux],Overhead616[[#Headers],[Frais indirectement liés à l''activité - Autres fonctions - Administration / Logistique]])</f>
        <v>0</v>
      </c>
      <c r="AK61" s="60">
        <f>SUMIFS(Recettes[Montant],Recettes[Allocation],Overhead616[[#This Row],[Fonction]],Recettes[Frais généraux],Overhead616[[#Headers],[Frais indirectement liés à l''activité - Autres fonctions - Chargé(e) de direction]])</f>
        <v>0</v>
      </c>
      <c r="AL61" s="61">
        <f>SUMIFS(Recettes[Montant],Recettes[Allocation],Overhead616[[#This Row],[Fonction]],Recettes[Frais généraux],Overhead616[[#Headers],[Frais indirectement liés à l''activité - Autres fonctions - Direction générale]])</f>
        <v>0</v>
      </c>
    </row>
    <row r="62" spans="9:38" x14ac:dyDescent="0.25">
      <c r="I62" t="s">
        <v>156</v>
      </c>
      <c r="AE62" s="738"/>
      <c r="AF62" s="57" t="s">
        <v>398</v>
      </c>
      <c r="AG62" s="52">
        <f>SUMIFS(Recettes[Montant],Recettes[Allocation],Overhead616[[#This Row],[Fonction]],Recettes[Frais généraux],Overhead616[[#Headers],[Frais directement liés à l''activité - Encadrement]])</f>
        <v>0</v>
      </c>
      <c r="AH62" s="52">
        <f>SUMIFS(Recettes[Montant],Recettes[Allocation],Overhead616[[#This Row],[Fonction]],Recettes[Frais généraux],Overhead616[[#Headers],[Frais directement liés à l''activité - Logistique]])</f>
        <v>0</v>
      </c>
      <c r="AI62" s="52">
        <f>SUMIFS(Recettes[Montant],Recettes[Allocation],Overhead616[[#This Row],[Fonction]],Recettes[Frais généraux],Overhead616[[#Headers],[Frais indirectement liés à l''activité - Prévues par la loi ]])</f>
        <v>0</v>
      </c>
      <c r="AJ62" s="52">
        <f>SUMIFS(Recettes[Montant],Recettes[Allocation],Overhead616[[#This Row],[Fonction]],Recettes[Frais généraux],Overhead616[[#Headers],[Frais indirectement liés à l''activité - Autres fonctions - Administration / Logistique]])</f>
        <v>0</v>
      </c>
      <c r="AK62" s="52">
        <f>SUMIFS(Recettes[Montant],Recettes[Allocation],Overhead616[[#This Row],[Fonction]],Recettes[Frais généraux],Overhead616[[#Headers],[Frais indirectement liés à l''activité - Autres fonctions - Chargé(e) de direction]])</f>
        <v>0</v>
      </c>
      <c r="AL62" s="53">
        <f>SUMIFS(Recettes[Montant],Recettes[Allocation],Overhead616[[#This Row],[Fonction]],Recettes[Frais généraux],Overhead616[[#Headers],[Frais indirectement liés à l''activité - Autres fonctions - Direction générale]])</f>
        <v>0</v>
      </c>
    </row>
    <row r="63" spans="9:38" x14ac:dyDescent="0.25">
      <c r="I63" t="s">
        <v>158</v>
      </c>
      <c r="AE63" s="738"/>
      <c r="AF63" s="57" t="s">
        <v>399</v>
      </c>
      <c r="AG63" s="52">
        <f>SUMIFS(Recettes[Montant],Recettes[Allocation],Overhead616[[#This Row],[Fonction]],Recettes[Frais généraux],Overhead616[[#Headers],[Frais directement liés à l''activité - Encadrement]])</f>
        <v>0</v>
      </c>
      <c r="AH63" s="52">
        <f>SUMIFS(Recettes[Montant],Recettes[Allocation],Overhead616[[#This Row],[Fonction]],Recettes[Frais généraux],Overhead616[[#Headers],[Frais directement liés à l''activité - Logistique]])</f>
        <v>0</v>
      </c>
      <c r="AI63" s="52">
        <f>SUMIFS(Recettes[Montant],Recettes[Allocation],Overhead616[[#This Row],[Fonction]],Recettes[Frais généraux],Overhead616[[#Headers],[Frais indirectement liés à l''activité - Prévues par la loi ]])</f>
        <v>0</v>
      </c>
      <c r="AJ63" s="52">
        <f>SUMIFS(Recettes[Montant],Recettes[Allocation],Overhead616[[#This Row],[Fonction]],Recettes[Frais généraux],Overhead616[[#Headers],[Frais indirectement liés à l''activité - Autres fonctions - Administration / Logistique]])</f>
        <v>0</v>
      </c>
      <c r="AK63" s="52">
        <f>SUMIFS(Recettes[Montant],Recettes[Allocation],Overhead616[[#This Row],[Fonction]],Recettes[Frais généraux],Overhead616[[#Headers],[Frais indirectement liés à l''activité - Autres fonctions - Chargé(e) de direction]])</f>
        <v>0</v>
      </c>
      <c r="AL63" s="53">
        <f>SUMIFS(Recettes[Montant],Recettes[Allocation],Overhead616[[#This Row],[Fonction]],Recettes[Frais généraux],Overhead616[[#Headers],[Frais indirectement liés à l''activité - Autres fonctions - Direction générale]])</f>
        <v>0</v>
      </c>
    </row>
    <row r="64" spans="9:38" x14ac:dyDescent="0.25">
      <c r="I64" t="s">
        <v>159</v>
      </c>
      <c r="AE64" s="738"/>
      <c r="AF64" s="57" t="s">
        <v>400</v>
      </c>
      <c r="AG64" s="52">
        <f>SUMIFS(Recettes[Montant],Recettes[Allocation],Overhead616[[#This Row],[Fonction]],Recettes[Frais généraux],Overhead616[[#Headers],[Frais directement liés à l''activité - Encadrement]])</f>
        <v>0</v>
      </c>
      <c r="AH64" s="52">
        <f>SUMIFS(Recettes[Montant],Recettes[Allocation],Overhead616[[#This Row],[Fonction]],Recettes[Frais généraux],Overhead616[[#Headers],[Frais directement liés à l''activité - Logistique]])</f>
        <v>0</v>
      </c>
      <c r="AI64" s="52">
        <f>SUMIFS(Recettes[Montant],Recettes[Allocation],Overhead616[[#This Row],[Fonction]],Recettes[Frais généraux],Overhead616[[#Headers],[Frais indirectement liés à l''activité - Prévues par la loi ]])</f>
        <v>0</v>
      </c>
      <c r="AJ64" s="52">
        <f>SUMIFS(Recettes[Montant],Recettes[Allocation],Overhead616[[#This Row],[Fonction]],Recettes[Frais généraux],Overhead616[[#Headers],[Frais indirectement liés à l''activité - Autres fonctions - Administration / Logistique]])</f>
        <v>0</v>
      </c>
      <c r="AK64" s="52">
        <f>SUMIFS(Recettes[Montant],Recettes[Allocation],Overhead616[[#This Row],[Fonction]],Recettes[Frais généraux],Overhead616[[#Headers],[Frais indirectement liés à l''activité - Autres fonctions - Chargé(e) de direction]])</f>
        <v>0</v>
      </c>
      <c r="AL64" s="53">
        <f>SUMIFS(Recettes[Montant],Recettes[Allocation],Overhead616[[#This Row],[Fonction]],Recettes[Frais généraux],Overhead616[[#Headers],[Frais indirectement liés à l''activité - Autres fonctions - Direction générale]])</f>
        <v>0</v>
      </c>
    </row>
    <row r="65" spans="9:38" x14ac:dyDescent="0.25">
      <c r="I65" t="s">
        <v>161</v>
      </c>
      <c r="AE65" s="738"/>
      <c r="AF65" s="57" t="s">
        <v>401</v>
      </c>
      <c r="AG65" s="52">
        <f>SUMIFS(Recettes[Montant],Recettes[Allocation],Overhead616[[#This Row],[Fonction]],Recettes[Frais généraux],Overhead616[[#Headers],[Frais directement liés à l''activité - Encadrement]])</f>
        <v>0</v>
      </c>
      <c r="AH65" s="52">
        <f>SUMIFS(Recettes[Montant],Recettes[Allocation],Overhead616[[#This Row],[Fonction]],Recettes[Frais généraux],Overhead616[[#Headers],[Frais directement liés à l''activité - Logistique]])</f>
        <v>0</v>
      </c>
      <c r="AI65" s="52">
        <f>SUMIFS(Recettes[Montant],Recettes[Allocation],Overhead616[[#This Row],[Fonction]],Recettes[Frais généraux],Overhead616[[#Headers],[Frais indirectement liés à l''activité - Prévues par la loi ]])</f>
        <v>0</v>
      </c>
      <c r="AJ65" s="52">
        <f>SUMIFS(Recettes[Montant],Recettes[Allocation],Overhead616[[#This Row],[Fonction]],Recettes[Frais généraux],Overhead616[[#Headers],[Frais indirectement liés à l''activité - Autres fonctions - Administration / Logistique]])</f>
        <v>0</v>
      </c>
      <c r="AK65" s="52">
        <f>SUMIFS(Recettes[Montant],Recettes[Allocation],Overhead616[[#This Row],[Fonction]],Recettes[Frais généraux],Overhead616[[#Headers],[Frais indirectement liés à l''activité - Autres fonctions - Chargé(e) de direction]])</f>
        <v>0</v>
      </c>
      <c r="AL65" s="53">
        <f>SUMIFS(Recettes[Montant],Recettes[Allocation],Overhead616[[#This Row],[Fonction]],Recettes[Frais généraux],Overhead616[[#Headers],[Frais indirectement liés à l''activité - Autres fonctions - Direction générale]])</f>
        <v>0</v>
      </c>
    </row>
    <row r="66" spans="9:38" x14ac:dyDescent="0.25">
      <c r="I66" t="s">
        <v>162</v>
      </c>
      <c r="AE66" s="738"/>
      <c r="AF66" s="57" t="s">
        <v>109</v>
      </c>
      <c r="AG66" s="52">
        <f>SUMIFS(Recettes[Montant],Recettes[Allocation],Overhead616[[#This Row],[Fonction]],Recettes[Frais généraux],Overhead616[[#Headers],[Frais directement liés à l''activité - Encadrement]])</f>
        <v>0</v>
      </c>
      <c r="AH66" s="52">
        <f>SUMIFS(Recettes[Montant],Recettes[Allocation],Overhead616[[#This Row],[Fonction]],Recettes[Frais généraux],Overhead616[[#Headers],[Frais directement liés à l''activité - Logistique]])</f>
        <v>0</v>
      </c>
      <c r="AI66" s="52">
        <f>SUMIFS(Recettes[Montant],Recettes[Allocation],Overhead616[[#This Row],[Fonction]],Recettes[Frais généraux],Overhead616[[#Headers],[Frais indirectement liés à l''activité - Prévues par la loi ]])</f>
        <v>0</v>
      </c>
      <c r="AJ66" s="52">
        <f>SUMIFS(Recettes[Montant],Recettes[Allocation],Overhead616[[#This Row],[Fonction]],Recettes[Frais généraux],Overhead616[[#Headers],[Frais indirectement liés à l''activité - Autres fonctions - Administration / Logistique]])</f>
        <v>0</v>
      </c>
      <c r="AK66" s="52">
        <f>SUMIFS(Recettes[Montant],Recettes[Allocation],Overhead616[[#This Row],[Fonction]],Recettes[Frais généraux],Overhead616[[#Headers],[Frais indirectement liés à l''activité - Autres fonctions - Chargé(e) de direction]])</f>
        <v>0</v>
      </c>
      <c r="AL66" s="53">
        <f>SUMIFS(Recettes[Montant],Recettes[Allocation],Overhead616[[#This Row],[Fonction]],Recettes[Frais généraux],Overhead616[[#Headers],[Frais indirectement liés à l''activité - Autres fonctions - Direction générale]])</f>
        <v>0</v>
      </c>
    </row>
    <row r="67" spans="9:38" x14ac:dyDescent="0.25">
      <c r="I67" t="s">
        <v>164</v>
      </c>
      <c r="AE67" s="738"/>
      <c r="AF67" s="57" t="s">
        <v>610</v>
      </c>
      <c r="AG67" s="52">
        <f>SUMIFS(Recettes[Montant],Recettes[Allocation],Overhead616[[#This Row],[Fonction]],Recettes[Frais généraux],Overhead616[[#Headers],[Frais directement liés à l''activité - Encadrement]])</f>
        <v>0</v>
      </c>
      <c r="AH67" s="52">
        <f>SUMIFS(Recettes[Montant],Recettes[Allocation],Overhead616[[#This Row],[Fonction]],Recettes[Frais généraux],Overhead616[[#Headers],[Frais directement liés à l''activité - Logistique]])</f>
        <v>0</v>
      </c>
      <c r="AI67" s="52">
        <f>SUMIFS(Recettes[Montant],Recettes[Allocation],Overhead616[[#This Row],[Fonction]],Recettes[Frais généraux],Overhead616[[#Headers],[Frais indirectement liés à l''activité - Prévues par la loi ]])</f>
        <v>0</v>
      </c>
      <c r="AJ67" s="52">
        <f>SUMIFS(Recettes[Montant],Recettes[Allocation],Overhead616[[#This Row],[Fonction]],Recettes[Frais généraux],Overhead616[[#Headers],[Frais indirectement liés à l''activité - Autres fonctions - Administration / Logistique]])</f>
        <v>0</v>
      </c>
      <c r="AK67" s="52">
        <f>SUMIFS(Recettes[Montant],Recettes[Allocation],Overhead616[[#This Row],[Fonction]],Recettes[Frais généraux],Overhead616[[#Headers],[Frais indirectement liés à l''activité - Autres fonctions - Chargé(e) de direction]])</f>
        <v>0</v>
      </c>
      <c r="AL67" s="53">
        <f>SUMIFS(Recettes[Montant],Recettes[Allocation],Overhead616[[#This Row],[Fonction]],Recettes[Frais généraux],Overhead616[[#Headers],[Frais indirectement liés à l''activité - Autres fonctions - Direction générale]])</f>
        <v>0</v>
      </c>
    </row>
    <row r="68" spans="9:38" ht="15.75" thickBot="1" x14ac:dyDescent="0.3">
      <c r="I68" t="s">
        <v>165</v>
      </c>
      <c r="AE68" s="739"/>
      <c r="AF68" s="62" t="s">
        <v>200</v>
      </c>
      <c r="AG68" s="54">
        <f>SUMIFS(Recettes[Montant],Recettes[Allocation],Overhead616[[#This Row],[Fonction]],Recettes[Frais généraux],Overhead616[[#Headers],[Frais directement liés à l''activité - Encadrement]])</f>
        <v>0</v>
      </c>
      <c r="AH68" s="54">
        <f>SUMIFS(Recettes[Montant],Recettes[Allocation],Overhead616[[#This Row],[Fonction]],Recettes[Frais généraux],Overhead616[[#Headers],[Frais directement liés à l''activité - Logistique]])</f>
        <v>0</v>
      </c>
      <c r="AI68" s="54">
        <f>SUMIFS(Recettes[Montant],Recettes[Allocation],Overhead616[[#This Row],[Fonction]],Recettes[Frais généraux],Overhead616[[#Headers],[Frais indirectement liés à l''activité - Prévues par la loi ]])</f>
        <v>0</v>
      </c>
      <c r="AJ68" s="54">
        <f>SUMIFS(Recettes[Montant],Recettes[Allocation],Overhead616[[#This Row],[Fonction]],Recettes[Frais généraux],Overhead616[[#Headers],[Frais indirectement liés à l''activité - Autres fonctions - Administration / Logistique]])</f>
        <v>0</v>
      </c>
      <c r="AK68" s="54">
        <f>SUMIFS(Recettes[Montant],Recettes[Allocation],Overhead616[[#This Row],[Fonction]],Recettes[Frais généraux],Overhead616[[#Headers],[Frais indirectement liés à l''activité - Autres fonctions - Chargé(e) de direction]])</f>
        <v>0</v>
      </c>
      <c r="AL68" s="55">
        <f>SUMIFS(Recettes[Montant],Recettes[Allocation],Overhead616[[#This Row],[Fonction]],Recettes[Frais généraux],Overhead616[[#Headers],[Frais indirectement liés à l''activité - Autres fonctions - Direction générale]])</f>
        <v>0</v>
      </c>
    </row>
    <row r="69" spans="9:38" x14ac:dyDescent="0.25">
      <c r="I69" t="s">
        <v>166</v>
      </c>
      <c r="AE69" s="432"/>
      <c r="AF69" s="57" t="s">
        <v>31</v>
      </c>
      <c r="AG69" s="179">
        <f>SUBTOTAL(109,Overhead616[Frais directement liés à l''activité - Encadrement])</f>
        <v>0</v>
      </c>
      <c r="AH69" s="179">
        <f>SUBTOTAL(109,Overhead616[Frais directement liés à l''activité - Logistique])</f>
        <v>0</v>
      </c>
      <c r="AI69" s="179">
        <f>SUBTOTAL(109,Overhead616[Frais indirectement liés à l''activité - Prévues par la loi ])</f>
        <v>0</v>
      </c>
      <c r="AJ69" s="179">
        <f>SUBTOTAL(109,Overhead616[Frais indirectement liés à l''activité - Autres fonctions - Administration / Logistique])</f>
        <v>0</v>
      </c>
      <c r="AK69" s="179">
        <f>SUBTOTAL(109,Overhead616[Frais indirectement liés à l''activité - Autres fonctions - Chargé(e) de direction])</f>
        <v>0</v>
      </c>
      <c r="AL69" s="179">
        <f>SUBTOTAL(109,Overhead616[Frais indirectement liés à l''activité - Autres fonctions - Direction générale])</f>
        <v>0</v>
      </c>
    </row>
    <row r="70" spans="9:38" x14ac:dyDescent="0.25">
      <c r="I70" t="s">
        <v>167</v>
      </c>
    </row>
    <row r="71" spans="9:38" x14ac:dyDescent="0.25">
      <c r="I71" t="s">
        <v>169</v>
      </c>
    </row>
    <row r="72" spans="9:38" x14ac:dyDescent="0.25">
      <c r="I72" t="s">
        <v>170</v>
      </c>
    </row>
    <row r="73" spans="9:38" x14ac:dyDescent="0.25">
      <c r="I73" t="s">
        <v>171</v>
      </c>
    </row>
    <row r="74" spans="9:38" x14ac:dyDescent="0.25">
      <c r="I74" t="s">
        <v>173</v>
      </c>
    </row>
    <row r="75" spans="9:38" x14ac:dyDescent="0.25">
      <c r="I75" t="s">
        <v>142</v>
      </c>
    </row>
    <row r="76" spans="9:38" x14ac:dyDescent="0.25">
      <c r="I76" t="s">
        <v>144</v>
      </c>
    </row>
    <row r="77" spans="9:38" x14ac:dyDescent="0.25">
      <c r="I77" t="s">
        <v>146</v>
      </c>
    </row>
    <row r="78" spans="9:38" x14ac:dyDescent="0.25">
      <c r="I78" t="s">
        <v>148</v>
      </c>
    </row>
    <row r="79" spans="9:38" x14ac:dyDescent="0.25">
      <c r="I79" t="s">
        <v>150</v>
      </c>
    </row>
    <row r="80" spans="9:38" x14ac:dyDescent="0.25">
      <c r="I80" t="s">
        <v>729</v>
      </c>
    </row>
    <row r="81" spans="1:37" x14ac:dyDescent="0.25">
      <c r="I81" t="s">
        <v>728</v>
      </c>
    </row>
    <row r="82" spans="1:37" x14ac:dyDescent="0.25">
      <c r="I82" t="s">
        <v>727</v>
      </c>
    </row>
    <row r="83" spans="1:37" x14ac:dyDescent="0.25">
      <c r="I83" t="s">
        <v>726</v>
      </c>
    </row>
    <row r="87" spans="1:37" x14ac:dyDescent="0.25">
      <c r="A87" t="s">
        <v>683</v>
      </c>
      <c r="B87" t="s">
        <v>688</v>
      </c>
      <c r="C87" t="s">
        <v>684</v>
      </c>
    </row>
    <row r="88" spans="1:37" x14ac:dyDescent="0.25">
      <c r="A88" t="s">
        <v>685</v>
      </c>
      <c r="B88">
        <v>0</v>
      </c>
      <c r="C88" s="505">
        <v>0.125</v>
      </c>
    </row>
    <row r="89" spans="1:37" x14ac:dyDescent="0.25">
      <c r="A89" t="s">
        <v>686</v>
      </c>
      <c r="B89">
        <v>15000</v>
      </c>
      <c r="C89" s="505">
        <v>0.125</v>
      </c>
    </row>
    <row r="90" spans="1:37" x14ac:dyDescent="0.25">
      <c r="A90" t="s">
        <v>687</v>
      </c>
      <c r="B90">
        <v>25000</v>
      </c>
      <c r="C90" s="505">
        <v>0.15</v>
      </c>
    </row>
    <row r="94" spans="1:37" x14ac:dyDescent="0.25">
      <c r="I94" t="s">
        <v>256</v>
      </c>
    </row>
    <row r="95" spans="1:37" x14ac:dyDescent="0.25">
      <c r="I95" t="s">
        <v>257</v>
      </c>
      <c r="AA95" s="79"/>
      <c r="AI95" s="52"/>
      <c r="AJ95" s="52"/>
      <c r="AK95" s="52"/>
    </row>
    <row r="96" spans="1:37" x14ac:dyDescent="0.25">
      <c r="I96" t="s">
        <v>258</v>
      </c>
      <c r="AA96" s="79"/>
      <c r="AI96" s="52"/>
      <c r="AJ96" s="52"/>
      <c r="AK96" s="52"/>
    </row>
    <row r="97" spans="9:37" x14ac:dyDescent="0.25">
      <c r="I97" t="s">
        <v>259</v>
      </c>
      <c r="AA97" s="79"/>
      <c r="AI97" s="52"/>
      <c r="AJ97" s="52"/>
      <c r="AK97" s="52"/>
    </row>
    <row r="98" spans="9:37" x14ac:dyDescent="0.25">
      <c r="I98" t="s">
        <v>260</v>
      </c>
      <c r="AA98" s="79"/>
      <c r="AI98" s="52"/>
      <c r="AJ98" s="52"/>
      <c r="AK98" s="52"/>
    </row>
    <row r="99" spans="9:37" x14ac:dyDescent="0.25">
      <c r="I99" t="s">
        <v>261</v>
      </c>
      <c r="AA99" s="79"/>
      <c r="AI99" s="52"/>
      <c r="AJ99" s="52"/>
      <c r="AK99" s="52"/>
    </row>
    <row r="100" spans="9:37" x14ac:dyDescent="0.25">
      <c r="I100" t="s">
        <v>262</v>
      </c>
      <c r="AA100" s="79"/>
      <c r="AI100" s="52"/>
      <c r="AJ100" s="52"/>
      <c r="AK100" s="52"/>
    </row>
    <row r="101" spans="9:37" x14ac:dyDescent="0.25">
      <c r="I101" t="s">
        <v>263</v>
      </c>
      <c r="AA101" s="79"/>
      <c r="AI101" s="52"/>
      <c r="AJ101" s="52"/>
      <c r="AK101" s="52"/>
    </row>
    <row r="102" spans="9:37" x14ac:dyDescent="0.25">
      <c r="I102" t="s">
        <v>267</v>
      </c>
      <c r="AA102" s="79"/>
      <c r="AI102" s="52"/>
      <c r="AJ102" s="52"/>
      <c r="AK102" s="52"/>
    </row>
    <row r="103" spans="9:37" x14ac:dyDescent="0.25">
      <c r="I103" t="s">
        <v>266</v>
      </c>
      <c r="AA103" s="80"/>
      <c r="AI103" s="52"/>
      <c r="AJ103" s="52"/>
      <c r="AK103" s="52"/>
    </row>
    <row r="104" spans="9:37" x14ac:dyDescent="0.25">
      <c r="I104" t="s">
        <v>265</v>
      </c>
    </row>
    <row r="105" spans="9:37" x14ac:dyDescent="0.25">
      <c r="I105" t="s">
        <v>264</v>
      </c>
    </row>
    <row r="106" spans="9:37" x14ac:dyDescent="0.25">
      <c r="I106" t="s">
        <v>268</v>
      </c>
    </row>
    <row r="107" spans="9:37" x14ac:dyDescent="0.25">
      <c r="I107" t="s">
        <v>269</v>
      </c>
    </row>
    <row r="108" spans="9:37" x14ac:dyDescent="0.25">
      <c r="I108" t="s">
        <v>270</v>
      </c>
    </row>
    <row r="109" spans="9:37" x14ac:dyDescent="0.25">
      <c r="I109" t="s">
        <v>271</v>
      </c>
    </row>
    <row r="110" spans="9:37" x14ac:dyDescent="0.25">
      <c r="I110" t="s">
        <v>272</v>
      </c>
    </row>
    <row r="111" spans="9:37" x14ac:dyDescent="0.25">
      <c r="I111" t="s">
        <v>273</v>
      </c>
    </row>
    <row r="112" spans="9:37" x14ac:dyDescent="0.25">
      <c r="I112" t="s">
        <v>275</v>
      </c>
    </row>
    <row r="113" spans="9:9" x14ac:dyDescent="0.25">
      <c r="I113" t="s">
        <v>276</v>
      </c>
    </row>
    <row r="114" spans="9:9" x14ac:dyDescent="0.25">
      <c r="I114" t="s">
        <v>274</v>
      </c>
    </row>
    <row r="115" spans="9:9" x14ac:dyDescent="0.25">
      <c r="I115" t="s">
        <v>277</v>
      </c>
    </row>
    <row r="116" spans="9:9" x14ac:dyDescent="0.25">
      <c r="I116" t="s">
        <v>278</v>
      </c>
    </row>
    <row r="117" spans="9:9" x14ac:dyDescent="0.25">
      <c r="I117" t="s">
        <v>279</v>
      </c>
    </row>
    <row r="118" spans="9:9" x14ac:dyDescent="0.25">
      <c r="I118" t="s">
        <v>280</v>
      </c>
    </row>
    <row r="119" spans="9:9" x14ac:dyDescent="0.25">
      <c r="I119" t="s">
        <v>281</v>
      </c>
    </row>
    <row r="120" spans="9:9" x14ac:dyDescent="0.25">
      <c r="I120" t="s">
        <v>282</v>
      </c>
    </row>
    <row r="121" spans="9:9" x14ac:dyDescent="0.25">
      <c r="I121" t="s">
        <v>283</v>
      </c>
    </row>
    <row r="122" spans="9:9" x14ac:dyDescent="0.25">
      <c r="I122" t="s">
        <v>284</v>
      </c>
    </row>
    <row r="123" spans="9:9" x14ac:dyDescent="0.25">
      <c r="I123" t="s">
        <v>285</v>
      </c>
    </row>
    <row r="124" spans="9:9" x14ac:dyDescent="0.25">
      <c r="I124" t="s">
        <v>286</v>
      </c>
    </row>
    <row r="125" spans="9:9" x14ac:dyDescent="0.25">
      <c r="I125" t="s">
        <v>287</v>
      </c>
    </row>
    <row r="126" spans="9:9" x14ac:dyDescent="0.25">
      <c r="I126" t="s">
        <v>288</v>
      </c>
    </row>
    <row r="127" spans="9:9" x14ac:dyDescent="0.25">
      <c r="I127" t="s">
        <v>289</v>
      </c>
    </row>
    <row r="128" spans="9:9" x14ac:dyDescent="0.25">
      <c r="I128" t="s">
        <v>290</v>
      </c>
    </row>
    <row r="129" spans="9:9" x14ac:dyDescent="0.25">
      <c r="I129" t="s">
        <v>292</v>
      </c>
    </row>
    <row r="130" spans="9:9" x14ac:dyDescent="0.25">
      <c r="I130" t="s">
        <v>294</v>
      </c>
    </row>
    <row r="131" spans="9:9" x14ac:dyDescent="0.25">
      <c r="I131" t="s">
        <v>293</v>
      </c>
    </row>
    <row r="132" spans="9:9" x14ac:dyDescent="0.25">
      <c r="I132" t="s">
        <v>291</v>
      </c>
    </row>
    <row r="133" spans="9:9" x14ac:dyDescent="0.25">
      <c r="I133" t="s">
        <v>295</v>
      </c>
    </row>
    <row r="134" spans="9:9" x14ac:dyDescent="0.25">
      <c r="I134" t="s">
        <v>296</v>
      </c>
    </row>
    <row r="135" spans="9:9" x14ac:dyDescent="0.25">
      <c r="I135" t="s">
        <v>297</v>
      </c>
    </row>
    <row r="136" spans="9:9" x14ac:dyDescent="0.25">
      <c r="I136" t="s">
        <v>725</v>
      </c>
    </row>
    <row r="137" spans="9:9" x14ac:dyDescent="0.25">
      <c r="I137" t="s">
        <v>255</v>
      </c>
    </row>
    <row r="138" spans="9:9" x14ac:dyDescent="0.25">
      <c r="I138" t="s">
        <v>175</v>
      </c>
    </row>
    <row r="139" spans="9:9" x14ac:dyDescent="0.25">
      <c r="I139" t="s">
        <v>177</v>
      </c>
    </row>
    <row r="140" spans="9:9" x14ac:dyDescent="0.25">
      <c r="I140" t="s">
        <v>178</v>
      </c>
    </row>
    <row r="141" spans="9:9" x14ac:dyDescent="0.25">
      <c r="I141" t="s">
        <v>180</v>
      </c>
    </row>
    <row r="142" spans="9:9" x14ac:dyDescent="0.25">
      <c r="I142" t="s">
        <v>181</v>
      </c>
    </row>
    <row r="143" spans="9:9" x14ac:dyDescent="0.25">
      <c r="I143" t="s">
        <v>183</v>
      </c>
    </row>
    <row r="144" spans="9:9" x14ac:dyDescent="0.25">
      <c r="I144" t="s">
        <v>184</v>
      </c>
    </row>
    <row r="145" spans="9:9" x14ac:dyDescent="0.25">
      <c r="I145" t="s">
        <v>186</v>
      </c>
    </row>
    <row r="146" spans="9:9" x14ac:dyDescent="0.25">
      <c r="I146" t="s">
        <v>187</v>
      </c>
    </row>
    <row r="147" spans="9:9" x14ac:dyDescent="0.25">
      <c r="I147" t="s">
        <v>189</v>
      </c>
    </row>
    <row r="148" spans="9:9" x14ac:dyDescent="0.25">
      <c r="I148" t="s">
        <v>192</v>
      </c>
    </row>
    <row r="149" spans="9:9" x14ac:dyDescent="0.25">
      <c r="I149" t="s">
        <v>194</v>
      </c>
    </row>
    <row r="150" spans="9:9" x14ac:dyDescent="0.25">
      <c r="I150" t="s">
        <v>196</v>
      </c>
    </row>
    <row r="151" spans="9:9" x14ac:dyDescent="0.25">
      <c r="I151" t="s">
        <v>198</v>
      </c>
    </row>
    <row r="152" spans="9:9" x14ac:dyDescent="0.25">
      <c r="I152" t="s">
        <v>153</v>
      </c>
    </row>
    <row r="153" spans="9:9" x14ac:dyDescent="0.25">
      <c r="I153" t="s">
        <v>155</v>
      </c>
    </row>
    <row r="154" spans="9:9" x14ac:dyDescent="0.25">
      <c r="I154" t="s">
        <v>156</v>
      </c>
    </row>
    <row r="155" spans="9:9" x14ac:dyDescent="0.25">
      <c r="I155" t="s">
        <v>158</v>
      </c>
    </row>
    <row r="156" spans="9:9" x14ac:dyDescent="0.25">
      <c r="I156" t="s">
        <v>159</v>
      </c>
    </row>
    <row r="157" spans="9:9" x14ac:dyDescent="0.25">
      <c r="I157" t="s">
        <v>161</v>
      </c>
    </row>
    <row r="158" spans="9:9" x14ac:dyDescent="0.25">
      <c r="I158" t="s">
        <v>162</v>
      </c>
    </row>
    <row r="159" spans="9:9" x14ac:dyDescent="0.25">
      <c r="I159" t="s">
        <v>164</v>
      </c>
    </row>
    <row r="160" spans="9:9" x14ac:dyDescent="0.25">
      <c r="I160" t="s">
        <v>165</v>
      </c>
    </row>
    <row r="161" spans="9:9" x14ac:dyDescent="0.25">
      <c r="I161" t="s">
        <v>166</v>
      </c>
    </row>
    <row r="162" spans="9:9" x14ac:dyDescent="0.25">
      <c r="I162" t="s">
        <v>167</v>
      </c>
    </row>
    <row r="163" spans="9:9" x14ac:dyDescent="0.25">
      <c r="I163" t="s">
        <v>169</v>
      </c>
    </row>
    <row r="164" spans="9:9" x14ac:dyDescent="0.25">
      <c r="I164" t="s">
        <v>170</v>
      </c>
    </row>
    <row r="165" spans="9:9" x14ac:dyDescent="0.25">
      <c r="I165" t="s">
        <v>171</v>
      </c>
    </row>
    <row r="166" spans="9:9" x14ac:dyDescent="0.25">
      <c r="I166" t="s">
        <v>173</v>
      </c>
    </row>
    <row r="167" spans="9:9" x14ac:dyDescent="0.25">
      <c r="I167" t="s">
        <v>142</v>
      </c>
    </row>
    <row r="168" spans="9:9" x14ac:dyDescent="0.25">
      <c r="I168" t="s">
        <v>144</v>
      </c>
    </row>
    <row r="169" spans="9:9" x14ac:dyDescent="0.25">
      <c r="I169" t="s">
        <v>146</v>
      </c>
    </row>
    <row r="170" spans="9:9" x14ac:dyDescent="0.25">
      <c r="I170" t="s">
        <v>148</v>
      </c>
    </row>
    <row r="171" spans="9:9" x14ac:dyDescent="0.25">
      <c r="I171" t="s">
        <v>150</v>
      </c>
    </row>
    <row r="172" spans="9:9" x14ac:dyDescent="0.25">
      <c r="I172" t="s">
        <v>729</v>
      </c>
    </row>
    <row r="173" spans="9:9" x14ac:dyDescent="0.25">
      <c r="I173" t="s">
        <v>728</v>
      </c>
    </row>
    <row r="174" spans="9:9" x14ac:dyDescent="0.25">
      <c r="I174" t="s">
        <v>727</v>
      </c>
    </row>
    <row r="175" spans="9:9" x14ac:dyDescent="0.25">
      <c r="I175" t="s">
        <v>726</v>
      </c>
    </row>
  </sheetData>
  <sortState xmlns:xlrd2="http://schemas.microsoft.com/office/spreadsheetml/2017/richdata2" ref="I94:I175">
    <sortCondition ref="I94:I175"/>
  </sortState>
  <mergeCells count="4">
    <mergeCell ref="AE4:AE22"/>
    <mergeCell ref="AE23:AE41"/>
    <mergeCell ref="AE42:AE60"/>
    <mergeCell ref="AE61:AE68"/>
  </mergeCells>
  <phoneticPr fontId="18"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131"/>
  <sheetViews>
    <sheetView topLeftCell="A25" workbookViewId="0">
      <selection activeCell="B19" sqref="B19"/>
    </sheetView>
  </sheetViews>
  <sheetFormatPr defaultColWidth="9.140625" defaultRowHeight="15" x14ac:dyDescent="0.25"/>
  <cols>
    <col min="1" max="1" width="9.140625" style="24"/>
    <col min="2" max="2" width="130.85546875" style="24" bestFit="1" customWidth="1"/>
    <col min="3" max="3" width="20.5703125" style="24" customWidth="1"/>
    <col min="4" max="4" width="13" style="24" customWidth="1"/>
    <col min="5" max="5" width="8.140625" style="24" bestFit="1" customWidth="1"/>
    <col min="6" max="6" width="14" style="24" customWidth="1"/>
    <col min="7" max="7" width="16" style="24" customWidth="1"/>
    <col min="8" max="8" width="22.7109375" style="24" bestFit="1" customWidth="1"/>
    <col min="9" max="9" width="14" style="24" customWidth="1"/>
    <col min="10" max="10" width="18.42578125" style="24" bestFit="1" customWidth="1"/>
    <col min="11" max="11" width="15" style="24" customWidth="1"/>
    <col min="12" max="12" width="23" style="24" customWidth="1"/>
    <col min="13" max="16384" width="9.140625" style="24"/>
  </cols>
  <sheetData>
    <row r="1" spans="2:12" x14ac:dyDescent="0.25">
      <c r="B1" s="11" t="str">
        <f>'Informations générales 1'!B7</f>
        <v>DECOMPTE ANNUEL</v>
      </c>
    </row>
    <row r="2" spans="2:12" x14ac:dyDescent="0.25">
      <c r="B2" s="11" t="str">
        <f>'Informations générales 1'!C20&amp;" - "&amp;'Informations générales 1'!C24</f>
        <v>Nom Gestionnaire - Nom SEA</v>
      </c>
    </row>
    <row r="3" spans="2:12" x14ac:dyDescent="0.25">
      <c r="B3" s="19">
        <f>'Informations générales 1'!C10</f>
        <v>2024</v>
      </c>
    </row>
    <row r="5" spans="2:12" x14ac:dyDescent="0.25">
      <c r="B5" s="25" t="s">
        <v>524</v>
      </c>
    </row>
    <row r="7" spans="2:12" x14ac:dyDescent="0.25">
      <c r="B7" s="24" t="s">
        <v>525</v>
      </c>
      <c r="C7" s="193">
        <f>REVEX!E9</f>
        <v>0</v>
      </c>
    </row>
    <row r="9" spans="2:12" x14ac:dyDescent="0.25">
      <c r="C9" s="196" t="s">
        <v>526</v>
      </c>
      <c r="D9" s="197"/>
    </row>
    <row r="10" spans="2:12" x14ac:dyDescent="0.25">
      <c r="C10" s="198" t="s">
        <v>527</v>
      </c>
      <c r="D10" s="199">
        <f>'SALAIRES CCT SAS'!K4</f>
        <v>0</v>
      </c>
    </row>
    <row r="11" spans="2:12" x14ac:dyDescent="0.25">
      <c r="C11" s="200" t="s">
        <v>528</v>
      </c>
      <c r="D11" s="201">
        <f>'SALAIRES COMMUNE'!M4</f>
        <v>0</v>
      </c>
    </row>
    <row r="12" spans="2:12" x14ac:dyDescent="0.25">
      <c r="B12" s="204" t="str">
        <f>IF(D12=D15,"Toutes les carrières ont été intégrées", "Problème d'allocation des carrières")</f>
        <v>Toutes les carrières ont été intégrées</v>
      </c>
      <c r="C12" s="202"/>
      <c r="D12" s="203">
        <f>SUM(D10:D11)</f>
        <v>0</v>
      </c>
    </row>
    <row r="14" spans="2:12" x14ac:dyDescent="0.25">
      <c r="C14"/>
      <c r="D14" s="740" t="s">
        <v>533</v>
      </c>
      <c r="E14" s="741"/>
      <c r="F14" s="741"/>
      <c r="G14" s="742"/>
      <c r="I14" s="211"/>
      <c r="J14" s="212" t="s">
        <v>536</v>
      </c>
      <c r="K14" s="213"/>
      <c r="L14" s="214"/>
    </row>
    <row r="15" spans="2:12" x14ac:dyDescent="0.25">
      <c r="C15" s="205" t="s">
        <v>534</v>
      </c>
      <c r="D15" s="206">
        <f>SUM(D18:D131)</f>
        <v>0</v>
      </c>
      <c r="E15" s="207" t="e">
        <f>SUM(E18:E131)</f>
        <v>#DIV/0!</v>
      </c>
      <c r="F15" s="206">
        <f>SUM(F18:F131)</f>
        <v>0</v>
      </c>
      <c r="G15" s="206">
        <f>SUM(G18:G131)</f>
        <v>0</v>
      </c>
      <c r="I15" s="206">
        <f>SUM(I18:I131)</f>
        <v>0</v>
      </c>
      <c r="J15" s="215" t="e">
        <f>SUM(J18:J131)</f>
        <v>#DIV/0!</v>
      </c>
      <c r="K15" s="206">
        <f>SUM(K18:K131)</f>
        <v>0</v>
      </c>
      <c r="L15" s="216"/>
    </row>
    <row r="16" spans="2:12" x14ac:dyDescent="0.25">
      <c r="C16" s="208" t="s">
        <v>535</v>
      </c>
      <c r="D16" s="209">
        <f>SUBTOTAL(9,D18:D131)</f>
        <v>0</v>
      </c>
      <c r="E16" s="210" t="e">
        <f>SUBTOTAL(9,E18:E131)</f>
        <v>#DIV/0!</v>
      </c>
      <c r="F16" s="209">
        <f>SUBTOTAL(9,F18:F131)</f>
        <v>0</v>
      </c>
      <c r="G16" s="209">
        <f>SUBTOTAL(9,G18:G131)</f>
        <v>0</v>
      </c>
      <c r="I16" s="209">
        <f>SUBTOTAL(9,I18:I131)</f>
        <v>0</v>
      </c>
      <c r="J16" s="217" t="e">
        <f>SUBTOTAL(9,J18:J131)</f>
        <v>#DIV/0!</v>
      </c>
      <c r="K16" s="209">
        <f>SUBTOTAL(9,K18:K131)</f>
        <v>0</v>
      </c>
      <c r="L16" s="218"/>
    </row>
    <row r="17" spans="2:12" x14ac:dyDescent="0.25">
      <c r="B17" s="23" t="s">
        <v>124</v>
      </c>
      <c r="C17" s="23" t="s">
        <v>529</v>
      </c>
      <c r="D17" s="23" t="s">
        <v>530</v>
      </c>
      <c r="E17" s="23" t="s">
        <v>472</v>
      </c>
      <c r="F17" s="23" t="s">
        <v>531</v>
      </c>
      <c r="G17" s="23" t="s">
        <v>532</v>
      </c>
      <c r="H17" s="23" t="s">
        <v>539</v>
      </c>
      <c r="I17" s="219" t="s">
        <v>540</v>
      </c>
      <c r="J17" s="220" t="s">
        <v>541</v>
      </c>
      <c r="K17" s="219" t="s">
        <v>542</v>
      </c>
      <c r="L17" s="221" t="s">
        <v>537</v>
      </c>
    </row>
    <row r="18" spans="2:12" x14ac:dyDescent="0.25">
      <c r="B18" s="23" t="s">
        <v>142</v>
      </c>
      <c r="C18" s="23" t="s">
        <v>538</v>
      </c>
      <c r="D18" s="222">
        <f>SUMIF(CCTSAS[Carrière],ETPRECAP[[#This Row],[Carrière]],CCTSAS[heures annuelles
selon contrat(s)])</f>
        <v>0</v>
      </c>
      <c r="E18" s="223" t="e">
        <f>ETPRECAP[[#This Row],[Heures ETP]]/$D$15</f>
        <v>#DIV/0!</v>
      </c>
      <c r="F18" s="222">
        <f>ETPRECAP[[#This Row],[Heures ETP]]/RTT!$D$7</f>
        <v>0</v>
      </c>
      <c r="G18" s="222">
        <f>COUNTIF(CCTSAS[Carrière],ETPRECAP[[#This Row],[Carrière]])</f>
        <v>0</v>
      </c>
      <c r="H18" s="222">
        <f>IF(ETPRECAP[[#This Row],[Nombre empl.]]=0,0,SUMIF(CCTSAS[Carrière],ETPRECAP[[#This Row],[Carrière]],CCTSAS[Années
(Ancienneté)])/ETPRECAP[[#This Row],[Nombre empl.]])</f>
        <v>0</v>
      </c>
      <c r="I18" s="222">
        <f>SUMIFS(CCTSAS[heures annuelles
selon contrat(s)],CCTSAS[Allocation fonctions],"Encadrement",CCTSAS[Carrière],ETPRECAP[[#This Row],[Carrière]])</f>
        <v>0</v>
      </c>
      <c r="J18" s="223" t="e">
        <f>ETPRECAP[[#This Row],[Heures ETP Encadrement]]/$I$15</f>
        <v>#DIV/0!</v>
      </c>
      <c r="K18" s="222">
        <f>ETPRECAP[[#This Row],[Heures ETP Encadrement]]/RTT!$D$7</f>
        <v>0</v>
      </c>
      <c r="L18" s="23"/>
    </row>
    <row r="19" spans="2:12" x14ac:dyDescent="0.25">
      <c r="B19" s="23" t="s">
        <v>144</v>
      </c>
      <c r="C19" s="23" t="s">
        <v>538</v>
      </c>
      <c r="D19" s="222">
        <f>SUMIF(CCTSAS[Carrière],ETPRECAP[[#This Row],[Carrière]],CCTSAS[heures annuelles
selon contrat(s)])</f>
        <v>0</v>
      </c>
      <c r="E19" s="223" t="e">
        <f>ETPRECAP[[#This Row],[Heures ETP]]/$D$15</f>
        <v>#DIV/0!</v>
      </c>
      <c r="F19" s="222">
        <f>ETPRECAP[[#This Row],[Heures ETP]]/RTT!$D$7</f>
        <v>0</v>
      </c>
      <c r="G19" s="222">
        <f>COUNTIF(CCTSAS[Carrière],ETPRECAP[[#This Row],[Carrière]])</f>
        <v>0</v>
      </c>
      <c r="H19" s="222">
        <f>IF(ETPRECAP[[#This Row],[Nombre empl.]]=0,0,SUMIF(CCTSAS[Carrière],ETPRECAP[[#This Row],[Carrière]],CCTSAS[Années
(Ancienneté)])/ETPRECAP[[#This Row],[Nombre empl.]])</f>
        <v>0</v>
      </c>
      <c r="I19" s="222">
        <f>SUMIFS(CCTSAS[heures annuelles
selon contrat(s)],CCTSAS[Allocation fonctions],"Encadrement",CCTSAS[Carrière],ETPRECAP[[#This Row],[Carrière]])</f>
        <v>0</v>
      </c>
      <c r="J19" s="223" t="e">
        <f>ETPRECAP[[#This Row],[Heures ETP Encadrement]]/$I$15</f>
        <v>#DIV/0!</v>
      </c>
      <c r="K19" s="222">
        <f>ETPRECAP[[#This Row],[Heures ETP Encadrement]]/RTT!$D$7</f>
        <v>0</v>
      </c>
      <c r="L19" s="23"/>
    </row>
    <row r="20" spans="2:12" x14ac:dyDescent="0.25">
      <c r="B20" s="23" t="s">
        <v>146</v>
      </c>
      <c r="C20" s="23" t="s">
        <v>538</v>
      </c>
      <c r="D20" s="222">
        <f>SUMIF(CCTSAS[Carrière],ETPRECAP[[#This Row],[Carrière]],CCTSAS[heures annuelles
selon contrat(s)])</f>
        <v>0</v>
      </c>
      <c r="E20" s="223" t="e">
        <f>ETPRECAP[[#This Row],[Heures ETP]]/$D$15</f>
        <v>#DIV/0!</v>
      </c>
      <c r="F20" s="222">
        <f>ETPRECAP[[#This Row],[Heures ETP]]/RTT!$D$7</f>
        <v>0</v>
      </c>
      <c r="G20" s="222">
        <f>COUNTIF(CCTSAS[Carrière],ETPRECAP[[#This Row],[Carrière]])</f>
        <v>0</v>
      </c>
      <c r="H20" s="222">
        <f>IF(ETPRECAP[[#This Row],[Nombre empl.]]=0,0,SUMIF(CCTSAS[Carrière],ETPRECAP[[#This Row],[Carrière]],CCTSAS[Années
(Ancienneté)])/ETPRECAP[[#This Row],[Nombre empl.]])</f>
        <v>0</v>
      </c>
      <c r="I20" s="222">
        <f>SUMIFS(CCTSAS[heures annuelles
selon contrat(s)],CCTSAS[Allocation fonctions],"Encadrement",CCTSAS[Carrière],ETPRECAP[[#This Row],[Carrière]])</f>
        <v>0</v>
      </c>
      <c r="J20" s="223" t="e">
        <f>ETPRECAP[[#This Row],[Heures ETP Encadrement]]/$I$15</f>
        <v>#DIV/0!</v>
      </c>
      <c r="K20" s="222">
        <f>ETPRECAP[[#This Row],[Heures ETP Encadrement]]/RTT!$D$7</f>
        <v>0</v>
      </c>
      <c r="L20" s="23"/>
    </row>
    <row r="21" spans="2:12" x14ac:dyDescent="0.25">
      <c r="B21" s="23" t="s">
        <v>148</v>
      </c>
      <c r="C21" s="23" t="s">
        <v>538</v>
      </c>
      <c r="D21" s="222">
        <f>SUMIF(CCTSAS[Carrière],ETPRECAP[[#This Row],[Carrière]],CCTSAS[heures annuelles
selon contrat(s)])</f>
        <v>0</v>
      </c>
      <c r="E21" s="223" t="e">
        <f>ETPRECAP[[#This Row],[Heures ETP]]/$D$15</f>
        <v>#DIV/0!</v>
      </c>
      <c r="F21" s="222">
        <f>ETPRECAP[[#This Row],[Heures ETP]]/RTT!$D$7</f>
        <v>0</v>
      </c>
      <c r="G21" s="222">
        <f>COUNTIF(CCTSAS[Carrière],ETPRECAP[[#This Row],[Carrière]])</f>
        <v>0</v>
      </c>
      <c r="H21" s="222">
        <f>IF(ETPRECAP[[#This Row],[Nombre empl.]]=0,0,SUMIF(CCTSAS[Carrière],ETPRECAP[[#This Row],[Carrière]],CCTSAS[Années
(Ancienneté)])/ETPRECAP[[#This Row],[Nombre empl.]])</f>
        <v>0</v>
      </c>
      <c r="I21" s="222">
        <f>SUMIFS(CCTSAS[heures annuelles
selon contrat(s)],CCTSAS[Allocation fonctions],"Encadrement",CCTSAS[Carrière],ETPRECAP[[#This Row],[Carrière]])</f>
        <v>0</v>
      </c>
      <c r="J21" s="223" t="e">
        <f>ETPRECAP[[#This Row],[Heures ETP Encadrement]]/$I$15</f>
        <v>#DIV/0!</v>
      </c>
      <c r="K21" s="222">
        <f>ETPRECAP[[#This Row],[Heures ETP Encadrement]]/RTT!$D$7</f>
        <v>0</v>
      </c>
      <c r="L21" s="23"/>
    </row>
    <row r="22" spans="2:12" x14ac:dyDescent="0.25">
      <c r="B22" s="23" t="s">
        <v>150</v>
      </c>
      <c r="C22" s="23" t="s">
        <v>538</v>
      </c>
      <c r="D22" s="222">
        <f>SUMIF(CCTSAS[Carrière],ETPRECAP[[#This Row],[Carrière]],CCTSAS[heures annuelles
selon contrat(s)])</f>
        <v>0</v>
      </c>
      <c r="E22" s="223" t="e">
        <f>ETPRECAP[[#This Row],[Heures ETP]]/$D$15</f>
        <v>#DIV/0!</v>
      </c>
      <c r="F22" s="222">
        <f>ETPRECAP[[#This Row],[Heures ETP]]/RTT!$D$7</f>
        <v>0</v>
      </c>
      <c r="G22" s="222">
        <f>COUNTIF(CCTSAS[Carrière],ETPRECAP[[#This Row],[Carrière]])</f>
        <v>0</v>
      </c>
      <c r="H22" s="222">
        <f>IF(ETPRECAP[[#This Row],[Nombre empl.]]=0,0,SUMIF(CCTSAS[Carrière],ETPRECAP[[#This Row],[Carrière]],CCTSAS[Années
(Ancienneté)])/ETPRECAP[[#This Row],[Nombre empl.]])</f>
        <v>0</v>
      </c>
      <c r="I22" s="222">
        <f>SUMIFS(CCTSAS[heures annuelles
selon contrat(s)],CCTSAS[Allocation fonctions],"Encadrement",CCTSAS[Carrière],ETPRECAP[[#This Row],[Carrière]])</f>
        <v>0</v>
      </c>
      <c r="J22" s="223" t="e">
        <f>ETPRECAP[[#This Row],[Heures ETP Encadrement]]/$I$15</f>
        <v>#DIV/0!</v>
      </c>
      <c r="K22" s="222">
        <f>ETPRECAP[[#This Row],[Heures ETP Encadrement]]/RTT!$D$7</f>
        <v>0</v>
      </c>
      <c r="L22" s="23"/>
    </row>
    <row r="23" spans="2:12" x14ac:dyDescent="0.25">
      <c r="B23" s="23" t="s">
        <v>153</v>
      </c>
      <c r="C23" s="23" t="s">
        <v>538</v>
      </c>
      <c r="D23" s="222">
        <f>SUMIF(CCTSAS[Carrière],ETPRECAP[[#This Row],[Carrière]],CCTSAS[heures annuelles
selon contrat(s)])</f>
        <v>0</v>
      </c>
      <c r="E23" s="223" t="e">
        <f>ETPRECAP[[#This Row],[Heures ETP]]/$D$15</f>
        <v>#DIV/0!</v>
      </c>
      <c r="F23" s="222">
        <f>ETPRECAP[[#This Row],[Heures ETP]]/RTT!$D$7</f>
        <v>0</v>
      </c>
      <c r="G23" s="222">
        <f>COUNTIF(CCTSAS[Carrière],ETPRECAP[[#This Row],[Carrière]])</f>
        <v>0</v>
      </c>
      <c r="H23" s="222">
        <f>IF(ETPRECAP[[#This Row],[Nombre empl.]]=0,0,SUMIF(CCTSAS[Carrière],ETPRECAP[[#This Row],[Carrière]],CCTSAS[Années
(Ancienneté)])/ETPRECAP[[#This Row],[Nombre empl.]])</f>
        <v>0</v>
      </c>
      <c r="I23" s="222">
        <f>SUMIFS(CCTSAS[heures annuelles
selon contrat(s)],CCTSAS[Allocation fonctions],"Encadrement",CCTSAS[Carrière],ETPRECAP[[#This Row],[Carrière]])</f>
        <v>0</v>
      </c>
      <c r="J23" s="223" t="e">
        <f>ETPRECAP[[#This Row],[Heures ETP Encadrement]]/$I$15</f>
        <v>#DIV/0!</v>
      </c>
      <c r="K23" s="222">
        <f>ETPRECAP[[#This Row],[Heures ETP Encadrement]]/RTT!$D$7</f>
        <v>0</v>
      </c>
      <c r="L23" s="23"/>
    </row>
    <row r="24" spans="2:12" x14ac:dyDescent="0.25">
      <c r="B24" s="23" t="s">
        <v>155</v>
      </c>
      <c r="C24" s="23" t="s">
        <v>538</v>
      </c>
      <c r="D24" s="222">
        <f>SUMIF(CCTSAS[Carrière],ETPRECAP[[#This Row],[Carrière]],CCTSAS[heures annuelles
selon contrat(s)])</f>
        <v>0</v>
      </c>
      <c r="E24" s="223" t="e">
        <f>ETPRECAP[[#This Row],[Heures ETP]]/$D$15</f>
        <v>#DIV/0!</v>
      </c>
      <c r="F24" s="222">
        <f>ETPRECAP[[#This Row],[Heures ETP]]/RTT!$D$7</f>
        <v>0</v>
      </c>
      <c r="G24" s="222">
        <f>COUNTIF(CCTSAS[Carrière],ETPRECAP[[#This Row],[Carrière]])</f>
        <v>0</v>
      </c>
      <c r="H24" s="222">
        <f>IF(ETPRECAP[[#This Row],[Nombre empl.]]=0,0,SUMIF(CCTSAS[Carrière],ETPRECAP[[#This Row],[Carrière]],CCTSAS[Années
(Ancienneté)])/ETPRECAP[[#This Row],[Nombre empl.]])</f>
        <v>0</v>
      </c>
      <c r="I24" s="222">
        <f>SUMIFS(CCTSAS[heures annuelles
selon contrat(s)],CCTSAS[Allocation fonctions],"Encadrement",CCTSAS[Carrière],ETPRECAP[[#This Row],[Carrière]])</f>
        <v>0</v>
      </c>
      <c r="J24" s="223" t="e">
        <f>ETPRECAP[[#This Row],[Heures ETP Encadrement]]/$I$15</f>
        <v>#DIV/0!</v>
      </c>
      <c r="K24" s="222">
        <f>ETPRECAP[[#This Row],[Heures ETP Encadrement]]/RTT!$D$7</f>
        <v>0</v>
      </c>
      <c r="L24" s="23"/>
    </row>
    <row r="25" spans="2:12" x14ac:dyDescent="0.25">
      <c r="B25" s="23" t="s">
        <v>156</v>
      </c>
      <c r="C25" s="23" t="s">
        <v>538</v>
      </c>
      <c r="D25" s="222">
        <f>SUMIF(CCTSAS[Carrière],ETPRECAP[[#This Row],[Carrière]],CCTSAS[heures annuelles
selon contrat(s)])</f>
        <v>0</v>
      </c>
      <c r="E25" s="223" t="e">
        <f>ETPRECAP[[#This Row],[Heures ETP]]/$D$15</f>
        <v>#DIV/0!</v>
      </c>
      <c r="F25" s="222">
        <f>ETPRECAP[[#This Row],[Heures ETP]]/RTT!$D$7</f>
        <v>0</v>
      </c>
      <c r="G25" s="222">
        <f>COUNTIF(CCTSAS[Carrière],ETPRECAP[[#This Row],[Carrière]])</f>
        <v>0</v>
      </c>
      <c r="H25" s="222">
        <f>IF(ETPRECAP[[#This Row],[Nombre empl.]]=0,0,SUMIF(CCTSAS[Carrière],ETPRECAP[[#This Row],[Carrière]],CCTSAS[Années
(Ancienneté)])/ETPRECAP[[#This Row],[Nombre empl.]])</f>
        <v>0</v>
      </c>
      <c r="I25" s="222">
        <f>SUMIFS(CCTSAS[heures annuelles
selon contrat(s)],CCTSAS[Allocation fonctions],"Encadrement",CCTSAS[Carrière],ETPRECAP[[#This Row],[Carrière]])</f>
        <v>0</v>
      </c>
      <c r="J25" s="223" t="e">
        <f>ETPRECAP[[#This Row],[Heures ETP Encadrement]]/$I$15</f>
        <v>#DIV/0!</v>
      </c>
      <c r="K25" s="222">
        <f>ETPRECAP[[#This Row],[Heures ETP Encadrement]]/RTT!$D$7</f>
        <v>0</v>
      </c>
      <c r="L25" s="23"/>
    </row>
    <row r="26" spans="2:12" x14ac:dyDescent="0.25">
      <c r="B26" s="23" t="s">
        <v>158</v>
      </c>
      <c r="C26" s="23" t="s">
        <v>538</v>
      </c>
      <c r="D26" s="222">
        <f>SUMIF(CCTSAS[Carrière],ETPRECAP[[#This Row],[Carrière]],CCTSAS[heures annuelles
selon contrat(s)])</f>
        <v>0</v>
      </c>
      <c r="E26" s="223" t="e">
        <f>ETPRECAP[[#This Row],[Heures ETP]]/$D$15</f>
        <v>#DIV/0!</v>
      </c>
      <c r="F26" s="222">
        <f>ETPRECAP[[#This Row],[Heures ETP]]/RTT!$D$7</f>
        <v>0</v>
      </c>
      <c r="G26" s="222">
        <f>COUNTIF(CCTSAS[Carrière],ETPRECAP[[#This Row],[Carrière]])</f>
        <v>0</v>
      </c>
      <c r="H26" s="222">
        <f>IF(ETPRECAP[[#This Row],[Nombre empl.]]=0,0,SUMIF(CCTSAS[Carrière],ETPRECAP[[#This Row],[Carrière]],CCTSAS[Années
(Ancienneté)])/ETPRECAP[[#This Row],[Nombre empl.]])</f>
        <v>0</v>
      </c>
      <c r="I26" s="222">
        <f>SUMIFS(CCTSAS[heures annuelles
selon contrat(s)],CCTSAS[Allocation fonctions],"Encadrement",CCTSAS[Carrière],ETPRECAP[[#This Row],[Carrière]])</f>
        <v>0</v>
      </c>
      <c r="J26" s="223" t="e">
        <f>ETPRECAP[[#This Row],[Heures ETP Encadrement]]/$I$15</f>
        <v>#DIV/0!</v>
      </c>
      <c r="K26" s="222">
        <f>ETPRECAP[[#This Row],[Heures ETP Encadrement]]/RTT!$D$7</f>
        <v>0</v>
      </c>
      <c r="L26" s="23"/>
    </row>
    <row r="27" spans="2:12" x14ac:dyDescent="0.25">
      <c r="B27" s="23" t="s">
        <v>159</v>
      </c>
      <c r="C27" s="23" t="s">
        <v>538</v>
      </c>
      <c r="D27" s="222">
        <f>SUMIF(CCTSAS[Carrière],ETPRECAP[[#This Row],[Carrière]],CCTSAS[heures annuelles
selon contrat(s)])</f>
        <v>0</v>
      </c>
      <c r="E27" s="223" t="e">
        <f>ETPRECAP[[#This Row],[Heures ETP]]/$D$15</f>
        <v>#DIV/0!</v>
      </c>
      <c r="F27" s="222">
        <f>ETPRECAP[[#This Row],[Heures ETP]]/RTT!$D$7</f>
        <v>0</v>
      </c>
      <c r="G27" s="222">
        <f>COUNTIF(CCTSAS[Carrière],ETPRECAP[[#This Row],[Carrière]])</f>
        <v>0</v>
      </c>
      <c r="H27" s="222">
        <f>IF(ETPRECAP[[#This Row],[Nombre empl.]]=0,0,SUMIF(CCTSAS[Carrière],ETPRECAP[[#This Row],[Carrière]],CCTSAS[Années
(Ancienneté)])/ETPRECAP[[#This Row],[Nombre empl.]])</f>
        <v>0</v>
      </c>
      <c r="I27" s="222">
        <f>SUMIFS(CCTSAS[heures annuelles
selon contrat(s)],CCTSAS[Allocation fonctions],"Encadrement",CCTSAS[Carrière],ETPRECAP[[#This Row],[Carrière]])</f>
        <v>0</v>
      </c>
      <c r="J27" s="223" t="e">
        <f>ETPRECAP[[#This Row],[Heures ETP Encadrement]]/$I$15</f>
        <v>#DIV/0!</v>
      </c>
      <c r="K27" s="222">
        <f>ETPRECAP[[#This Row],[Heures ETP Encadrement]]/RTT!$D$7</f>
        <v>0</v>
      </c>
      <c r="L27" s="23"/>
    </row>
    <row r="28" spans="2:12" x14ac:dyDescent="0.25">
      <c r="B28" s="23" t="s">
        <v>161</v>
      </c>
      <c r="C28" s="23" t="s">
        <v>538</v>
      </c>
      <c r="D28" s="222">
        <f>SUMIF(CCTSAS[Carrière],ETPRECAP[[#This Row],[Carrière]],CCTSAS[heures annuelles
selon contrat(s)])</f>
        <v>0</v>
      </c>
      <c r="E28" s="223" t="e">
        <f>ETPRECAP[[#This Row],[Heures ETP]]/$D$15</f>
        <v>#DIV/0!</v>
      </c>
      <c r="F28" s="222">
        <f>ETPRECAP[[#This Row],[Heures ETP]]/RTT!$D$7</f>
        <v>0</v>
      </c>
      <c r="G28" s="222">
        <f>COUNTIF(CCTSAS[Carrière],ETPRECAP[[#This Row],[Carrière]])</f>
        <v>0</v>
      </c>
      <c r="H28" s="222">
        <f>IF(ETPRECAP[[#This Row],[Nombre empl.]]=0,0,SUMIF(CCTSAS[Carrière],ETPRECAP[[#This Row],[Carrière]],CCTSAS[Années
(Ancienneté)])/ETPRECAP[[#This Row],[Nombre empl.]])</f>
        <v>0</v>
      </c>
      <c r="I28" s="222">
        <f>SUMIFS(CCTSAS[heures annuelles
selon contrat(s)],CCTSAS[Allocation fonctions],"Encadrement",CCTSAS[Carrière],ETPRECAP[[#This Row],[Carrière]])</f>
        <v>0</v>
      </c>
      <c r="J28" s="223" t="e">
        <f>ETPRECAP[[#This Row],[Heures ETP Encadrement]]/$I$15</f>
        <v>#DIV/0!</v>
      </c>
      <c r="K28" s="222">
        <f>ETPRECAP[[#This Row],[Heures ETP Encadrement]]/RTT!$D$7</f>
        <v>0</v>
      </c>
      <c r="L28" s="23"/>
    </row>
    <row r="29" spans="2:12" x14ac:dyDescent="0.25">
      <c r="B29" s="23" t="s">
        <v>162</v>
      </c>
      <c r="C29" s="23" t="s">
        <v>538</v>
      </c>
      <c r="D29" s="222">
        <f>SUMIF(CCTSAS[Carrière],ETPRECAP[[#This Row],[Carrière]],CCTSAS[heures annuelles
selon contrat(s)])</f>
        <v>0</v>
      </c>
      <c r="E29" s="223" t="e">
        <f>ETPRECAP[[#This Row],[Heures ETP]]/$D$15</f>
        <v>#DIV/0!</v>
      </c>
      <c r="F29" s="222">
        <f>ETPRECAP[[#This Row],[Heures ETP]]/RTT!$D$7</f>
        <v>0</v>
      </c>
      <c r="G29" s="222">
        <f>COUNTIF(CCTSAS[Carrière],ETPRECAP[[#This Row],[Carrière]])</f>
        <v>0</v>
      </c>
      <c r="H29" s="222">
        <f>IF(ETPRECAP[[#This Row],[Nombre empl.]]=0,0,SUMIF(CCTSAS[Carrière],ETPRECAP[[#This Row],[Carrière]],CCTSAS[Années
(Ancienneté)])/ETPRECAP[[#This Row],[Nombre empl.]])</f>
        <v>0</v>
      </c>
      <c r="I29" s="222">
        <f>SUMIFS(CCTSAS[heures annuelles
selon contrat(s)],CCTSAS[Allocation fonctions],"Encadrement",CCTSAS[Carrière],ETPRECAP[[#This Row],[Carrière]])</f>
        <v>0</v>
      </c>
      <c r="J29" s="223" t="e">
        <f>ETPRECAP[[#This Row],[Heures ETP Encadrement]]/$I$15</f>
        <v>#DIV/0!</v>
      </c>
      <c r="K29" s="222">
        <f>ETPRECAP[[#This Row],[Heures ETP Encadrement]]/RTT!$D$7</f>
        <v>0</v>
      </c>
      <c r="L29" s="23"/>
    </row>
    <row r="30" spans="2:12" x14ac:dyDescent="0.25">
      <c r="B30" s="23" t="s">
        <v>164</v>
      </c>
      <c r="C30" s="23" t="s">
        <v>538</v>
      </c>
      <c r="D30" s="222">
        <f>SUMIF(CCTSAS[Carrière],ETPRECAP[[#This Row],[Carrière]],CCTSAS[heures annuelles
selon contrat(s)])</f>
        <v>0</v>
      </c>
      <c r="E30" s="223" t="e">
        <f>ETPRECAP[[#This Row],[Heures ETP]]/$D$15</f>
        <v>#DIV/0!</v>
      </c>
      <c r="F30" s="222">
        <f>ETPRECAP[[#This Row],[Heures ETP]]/RTT!$D$7</f>
        <v>0</v>
      </c>
      <c r="G30" s="222">
        <f>COUNTIF(CCTSAS[Carrière],ETPRECAP[[#This Row],[Carrière]])</f>
        <v>0</v>
      </c>
      <c r="H30" s="222">
        <f>IF(ETPRECAP[[#This Row],[Nombre empl.]]=0,0,SUMIF(CCTSAS[Carrière],ETPRECAP[[#This Row],[Carrière]],CCTSAS[Années
(Ancienneté)])/ETPRECAP[[#This Row],[Nombre empl.]])</f>
        <v>0</v>
      </c>
      <c r="I30" s="222">
        <f>SUMIFS(CCTSAS[heures annuelles
selon contrat(s)],CCTSAS[Allocation fonctions],"Encadrement",CCTSAS[Carrière],ETPRECAP[[#This Row],[Carrière]])</f>
        <v>0</v>
      </c>
      <c r="J30" s="223" t="e">
        <f>ETPRECAP[[#This Row],[Heures ETP Encadrement]]/$I$15</f>
        <v>#DIV/0!</v>
      </c>
      <c r="K30" s="222">
        <f>ETPRECAP[[#This Row],[Heures ETP Encadrement]]/RTT!$D$7</f>
        <v>0</v>
      </c>
      <c r="L30" s="23"/>
    </row>
    <row r="31" spans="2:12" x14ac:dyDescent="0.25">
      <c r="B31" s="23" t="s">
        <v>165</v>
      </c>
      <c r="C31" s="23" t="s">
        <v>538</v>
      </c>
      <c r="D31" s="222">
        <f>SUMIF(CCTSAS[Carrière],ETPRECAP[[#This Row],[Carrière]],CCTSAS[heures annuelles
selon contrat(s)])</f>
        <v>0</v>
      </c>
      <c r="E31" s="223" t="e">
        <f>ETPRECAP[[#This Row],[Heures ETP]]/$D$15</f>
        <v>#DIV/0!</v>
      </c>
      <c r="F31" s="222">
        <f>ETPRECAP[[#This Row],[Heures ETP]]/RTT!$D$7</f>
        <v>0</v>
      </c>
      <c r="G31" s="222">
        <f>COUNTIF(CCTSAS[Carrière],ETPRECAP[[#This Row],[Carrière]])</f>
        <v>0</v>
      </c>
      <c r="H31" s="222">
        <f>IF(ETPRECAP[[#This Row],[Nombre empl.]]=0,0,SUMIF(CCTSAS[Carrière],ETPRECAP[[#This Row],[Carrière]],CCTSAS[Années
(Ancienneté)])/ETPRECAP[[#This Row],[Nombre empl.]])</f>
        <v>0</v>
      </c>
      <c r="I31" s="222">
        <f>SUMIFS(CCTSAS[heures annuelles
selon contrat(s)],CCTSAS[Allocation fonctions],"Encadrement",CCTSAS[Carrière],ETPRECAP[[#This Row],[Carrière]])</f>
        <v>0</v>
      </c>
      <c r="J31" s="223" t="e">
        <f>ETPRECAP[[#This Row],[Heures ETP Encadrement]]/$I$15</f>
        <v>#DIV/0!</v>
      </c>
      <c r="K31" s="222">
        <f>ETPRECAP[[#This Row],[Heures ETP Encadrement]]/RTT!$D$7</f>
        <v>0</v>
      </c>
      <c r="L31" s="23"/>
    </row>
    <row r="32" spans="2:12" x14ac:dyDescent="0.25">
      <c r="B32" s="23" t="s">
        <v>166</v>
      </c>
      <c r="C32" s="23" t="s">
        <v>538</v>
      </c>
      <c r="D32" s="222">
        <f>SUMIF(CCTSAS[Carrière],ETPRECAP[[#This Row],[Carrière]],CCTSAS[heures annuelles
selon contrat(s)])</f>
        <v>0</v>
      </c>
      <c r="E32" s="223" t="e">
        <f>ETPRECAP[[#This Row],[Heures ETP]]/$D$15</f>
        <v>#DIV/0!</v>
      </c>
      <c r="F32" s="222">
        <f>ETPRECAP[[#This Row],[Heures ETP]]/RTT!$D$7</f>
        <v>0</v>
      </c>
      <c r="G32" s="222">
        <f>COUNTIF(CCTSAS[Carrière],ETPRECAP[[#This Row],[Carrière]])</f>
        <v>0</v>
      </c>
      <c r="H32" s="222">
        <f>IF(ETPRECAP[[#This Row],[Nombre empl.]]=0,0,SUMIF(CCTSAS[Carrière],ETPRECAP[[#This Row],[Carrière]],CCTSAS[Années
(Ancienneté)])/ETPRECAP[[#This Row],[Nombre empl.]])</f>
        <v>0</v>
      </c>
      <c r="I32" s="222">
        <f>SUMIFS(CCTSAS[heures annuelles
selon contrat(s)],CCTSAS[Allocation fonctions],"Encadrement",CCTSAS[Carrière],ETPRECAP[[#This Row],[Carrière]])</f>
        <v>0</v>
      </c>
      <c r="J32" s="223" t="e">
        <f>ETPRECAP[[#This Row],[Heures ETP Encadrement]]/$I$15</f>
        <v>#DIV/0!</v>
      </c>
      <c r="K32" s="222">
        <f>ETPRECAP[[#This Row],[Heures ETP Encadrement]]/RTT!$D$7</f>
        <v>0</v>
      </c>
      <c r="L32" s="23"/>
    </row>
    <row r="33" spans="2:12" x14ac:dyDescent="0.25">
      <c r="B33" s="23" t="s">
        <v>167</v>
      </c>
      <c r="C33" s="23" t="s">
        <v>538</v>
      </c>
      <c r="D33" s="222">
        <f>SUMIF(CCTSAS[Carrière],ETPRECAP[[#This Row],[Carrière]],CCTSAS[heures annuelles
selon contrat(s)])</f>
        <v>0</v>
      </c>
      <c r="E33" s="223" t="e">
        <f>ETPRECAP[[#This Row],[Heures ETP]]/$D$15</f>
        <v>#DIV/0!</v>
      </c>
      <c r="F33" s="222">
        <f>ETPRECAP[[#This Row],[Heures ETP]]/RTT!$D$7</f>
        <v>0</v>
      </c>
      <c r="G33" s="222">
        <f>COUNTIF(CCTSAS[Carrière],ETPRECAP[[#This Row],[Carrière]])</f>
        <v>0</v>
      </c>
      <c r="H33" s="222">
        <f>IF(ETPRECAP[[#This Row],[Nombre empl.]]=0,0,SUMIF(CCTSAS[Carrière],ETPRECAP[[#This Row],[Carrière]],CCTSAS[Années
(Ancienneté)])/ETPRECAP[[#This Row],[Nombre empl.]])</f>
        <v>0</v>
      </c>
      <c r="I33" s="222">
        <f>SUMIFS(CCTSAS[heures annuelles
selon contrat(s)],CCTSAS[Allocation fonctions],"Encadrement",CCTSAS[Carrière],ETPRECAP[[#This Row],[Carrière]])</f>
        <v>0</v>
      </c>
      <c r="J33" s="223" t="e">
        <f>ETPRECAP[[#This Row],[Heures ETP Encadrement]]/$I$15</f>
        <v>#DIV/0!</v>
      </c>
      <c r="K33" s="222">
        <f>ETPRECAP[[#This Row],[Heures ETP Encadrement]]/RTT!$D$7</f>
        <v>0</v>
      </c>
      <c r="L33" s="23"/>
    </row>
    <row r="34" spans="2:12" x14ac:dyDescent="0.25">
      <c r="B34" s="23" t="s">
        <v>169</v>
      </c>
      <c r="C34" s="23" t="s">
        <v>538</v>
      </c>
      <c r="D34" s="222">
        <f>SUMIF(CCTSAS[Carrière],ETPRECAP[[#This Row],[Carrière]],CCTSAS[heures annuelles
selon contrat(s)])</f>
        <v>0</v>
      </c>
      <c r="E34" s="223" t="e">
        <f>ETPRECAP[[#This Row],[Heures ETP]]/$D$15</f>
        <v>#DIV/0!</v>
      </c>
      <c r="F34" s="222">
        <f>ETPRECAP[[#This Row],[Heures ETP]]/RTT!$D$7</f>
        <v>0</v>
      </c>
      <c r="G34" s="222">
        <f>COUNTIF(CCTSAS[Carrière],ETPRECAP[[#This Row],[Carrière]])</f>
        <v>0</v>
      </c>
      <c r="H34" s="222">
        <f>IF(ETPRECAP[[#This Row],[Nombre empl.]]=0,0,SUMIF(CCTSAS[Carrière],ETPRECAP[[#This Row],[Carrière]],CCTSAS[Années
(Ancienneté)])/ETPRECAP[[#This Row],[Nombre empl.]])</f>
        <v>0</v>
      </c>
      <c r="I34" s="222">
        <f>SUMIFS(CCTSAS[heures annuelles
selon contrat(s)],CCTSAS[Allocation fonctions],"Encadrement",CCTSAS[Carrière],ETPRECAP[[#This Row],[Carrière]])</f>
        <v>0</v>
      </c>
      <c r="J34" s="223" t="e">
        <f>ETPRECAP[[#This Row],[Heures ETP Encadrement]]/$I$15</f>
        <v>#DIV/0!</v>
      </c>
      <c r="K34" s="222">
        <f>ETPRECAP[[#This Row],[Heures ETP Encadrement]]/RTT!$D$7</f>
        <v>0</v>
      </c>
      <c r="L34" s="23"/>
    </row>
    <row r="35" spans="2:12" x14ac:dyDescent="0.25">
      <c r="B35" s="23" t="s">
        <v>170</v>
      </c>
      <c r="C35" s="23" t="s">
        <v>538</v>
      </c>
      <c r="D35" s="222">
        <f>SUMIF(CCTSAS[Carrière],ETPRECAP[[#This Row],[Carrière]],CCTSAS[heures annuelles
selon contrat(s)])</f>
        <v>0</v>
      </c>
      <c r="E35" s="223" t="e">
        <f>ETPRECAP[[#This Row],[Heures ETP]]/$D$15</f>
        <v>#DIV/0!</v>
      </c>
      <c r="F35" s="222">
        <f>ETPRECAP[[#This Row],[Heures ETP]]/RTT!$D$7</f>
        <v>0</v>
      </c>
      <c r="G35" s="222">
        <f>COUNTIF(CCTSAS[Carrière],ETPRECAP[[#This Row],[Carrière]])</f>
        <v>0</v>
      </c>
      <c r="H35" s="222">
        <f>IF(ETPRECAP[[#This Row],[Nombre empl.]]=0,0,SUMIF(CCTSAS[Carrière],ETPRECAP[[#This Row],[Carrière]],CCTSAS[Années
(Ancienneté)])/ETPRECAP[[#This Row],[Nombre empl.]])</f>
        <v>0</v>
      </c>
      <c r="I35" s="222">
        <f>SUMIFS(CCTSAS[heures annuelles
selon contrat(s)],CCTSAS[Allocation fonctions],"Encadrement",CCTSAS[Carrière],ETPRECAP[[#This Row],[Carrière]])</f>
        <v>0</v>
      </c>
      <c r="J35" s="223" t="e">
        <f>ETPRECAP[[#This Row],[Heures ETP Encadrement]]/$I$15</f>
        <v>#DIV/0!</v>
      </c>
      <c r="K35" s="222">
        <f>ETPRECAP[[#This Row],[Heures ETP Encadrement]]/RTT!$D$7</f>
        <v>0</v>
      </c>
      <c r="L35" s="23"/>
    </row>
    <row r="36" spans="2:12" x14ac:dyDescent="0.25">
      <c r="B36" s="23" t="s">
        <v>171</v>
      </c>
      <c r="C36" s="23" t="s">
        <v>538</v>
      </c>
      <c r="D36" s="222">
        <f>SUMIF(CCTSAS[Carrière],ETPRECAP[[#This Row],[Carrière]],CCTSAS[heures annuelles
selon contrat(s)])</f>
        <v>0</v>
      </c>
      <c r="E36" s="223" t="e">
        <f>ETPRECAP[[#This Row],[Heures ETP]]/$D$15</f>
        <v>#DIV/0!</v>
      </c>
      <c r="F36" s="222">
        <f>ETPRECAP[[#This Row],[Heures ETP]]/RTT!$D$7</f>
        <v>0</v>
      </c>
      <c r="G36" s="222">
        <f>COUNTIF(CCTSAS[Carrière],ETPRECAP[[#This Row],[Carrière]])</f>
        <v>0</v>
      </c>
      <c r="H36" s="222">
        <f>IF(ETPRECAP[[#This Row],[Nombre empl.]]=0,0,SUMIF(CCTSAS[Carrière],ETPRECAP[[#This Row],[Carrière]],CCTSAS[Années
(Ancienneté)])/ETPRECAP[[#This Row],[Nombre empl.]])</f>
        <v>0</v>
      </c>
      <c r="I36" s="222">
        <f>SUMIFS(CCTSAS[heures annuelles
selon contrat(s)],CCTSAS[Allocation fonctions],"Encadrement",CCTSAS[Carrière],ETPRECAP[[#This Row],[Carrière]])</f>
        <v>0</v>
      </c>
      <c r="J36" s="223" t="e">
        <f>ETPRECAP[[#This Row],[Heures ETP Encadrement]]/$I$15</f>
        <v>#DIV/0!</v>
      </c>
      <c r="K36" s="222">
        <f>ETPRECAP[[#This Row],[Heures ETP Encadrement]]/RTT!$D$7</f>
        <v>0</v>
      </c>
      <c r="L36" s="23"/>
    </row>
    <row r="37" spans="2:12" x14ac:dyDescent="0.25">
      <c r="B37" s="23" t="s">
        <v>173</v>
      </c>
      <c r="C37" s="23" t="s">
        <v>538</v>
      </c>
      <c r="D37" s="222">
        <f>SUMIF(CCTSAS[Carrière],ETPRECAP[[#This Row],[Carrière]],CCTSAS[heures annuelles
selon contrat(s)])</f>
        <v>0</v>
      </c>
      <c r="E37" s="223" t="e">
        <f>ETPRECAP[[#This Row],[Heures ETP]]/$D$15</f>
        <v>#DIV/0!</v>
      </c>
      <c r="F37" s="222">
        <f>ETPRECAP[[#This Row],[Heures ETP]]/RTT!$D$7</f>
        <v>0</v>
      </c>
      <c r="G37" s="222">
        <f>COUNTIF(CCTSAS[Carrière],ETPRECAP[[#This Row],[Carrière]])</f>
        <v>0</v>
      </c>
      <c r="H37" s="222">
        <f>IF(ETPRECAP[[#This Row],[Nombre empl.]]=0,0,SUMIF(CCTSAS[Carrière],ETPRECAP[[#This Row],[Carrière]],CCTSAS[Années
(Ancienneté)])/ETPRECAP[[#This Row],[Nombre empl.]])</f>
        <v>0</v>
      </c>
      <c r="I37" s="222">
        <f>SUMIFS(CCTSAS[heures annuelles
selon contrat(s)],CCTSAS[Allocation fonctions],"Encadrement",CCTSAS[Carrière],ETPRECAP[[#This Row],[Carrière]])</f>
        <v>0</v>
      </c>
      <c r="J37" s="223" t="e">
        <f>ETPRECAP[[#This Row],[Heures ETP Encadrement]]/$I$15</f>
        <v>#DIV/0!</v>
      </c>
      <c r="K37" s="222">
        <f>ETPRECAP[[#This Row],[Heures ETP Encadrement]]/RTT!$D$7</f>
        <v>0</v>
      </c>
      <c r="L37" s="23"/>
    </row>
    <row r="38" spans="2:12" x14ac:dyDescent="0.25">
      <c r="B38" s="23" t="s">
        <v>175</v>
      </c>
      <c r="C38" s="23" t="s">
        <v>538</v>
      </c>
      <c r="D38" s="222">
        <f>SUMIF(CCTSAS[Carrière],ETPRECAP[[#This Row],[Carrière]],CCTSAS[heures annuelles
selon contrat(s)])</f>
        <v>0</v>
      </c>
      <c r="E38" s="223" t="e">
        <f>ETPRECAP[[#This Row],[Heures ETP]]/$D$15</f>
        <v>#DIV/0!</v>
      </c>
      <c r="F38" s="222">
        <f>ETPRECAP[[#This Row],[Heures ETP]]/RTT!$D$7</f>
        <v>0</v>
      </c>
      <c r="G38" s="222">
        <f>COUNTIF(CCTSAS[Carrière],ETPRECAP[[#This Row],[Carrière]])</f>
        <v>0</v>
      </c>
      <c r="H38" s="222">
        <f>IF(ETPRECAP[[#This Row],[Nombre empl.]]=0,0,SUMIF(CCTSAS[Carrière],ETPRECAP[[#This Row],[Carrière]],CCTSAS[Années
(Ancienneté)])/ETPRECAP[[#This Row],[Nombre empl.]])</f>
        <v>0</v>
      </c>
      <c r="I38" s="222">
        <f>SUMIFS(CCTSAS[heures annuelles
selon contrat(s)],CCTSAS[Allocation fonctions],"Encadrement",CCTSAS[Carrière],ETPRECAP[[#This Row],[Carrière]])</f>
        <v>0</v>
      </c>
      <c r="J38" s="223" t="e">
        <f>ETPRECAP[[#This Row],[Heures ETP Encadrement]]/$I$15</f>
        <v>#DIV/0!</v>
      </c>
      <c r="K38" s="222">
        <f>ETPRECAP[[#This Row],[Heures ETP Encadrement]]/RTT!$D$7</f>
        <v>0</v>
      </c>
      <c r="L38" s="23"/>
    </row>
    <row r="39" spans="2:12" x14ac:dyDescent="0.25">
      <c r="B39" s="23" t="s">
        <v>177</v>
      </c>
      <c r="C39" s="23" t="s">
        <v>538</v>
      </c>
      <c r="D39" s="222">
        <f>SUMIF(CCTSAS[Carrière],ETPRECAP[[#This Row],[Carrière]],CCTSAS[heures annuelles
selon contrat(s)])</f>
        <v>0</v>
      </c>
      <c r="E39" s="223" t="e">
        <f>ETPRECAP[[#This Row],[Heures ETP]]/$D$15</f>
        <v>#DIV/0!</v>
      </c>
      <c r="F39" s="222">
        <f>ETPRECAP[[#This Row],[Heures ETP]]/RTT!$D$7</f>
        <v>0</v>
      </c>
      <c r="G39" s="222">
        <f>COUNTIF(CCTSAS[Carrière],ETPRECAP[[#This Row],[Carrière]])</f>
        <v>0</v>
      </c>
      <c r="H39" s="222">
        <f>IF(ETPRECAP[[#This Row],[Nombre empl.]]=0,0,SUMIF(CCTSAS[Carrière],ETPRECAP[[#This Row],[Carrière]],CCTSAS[Années
(Ancienneté)])/ETPRECAP[[#This Row],[Nombre empl.]])</f>
        <v>0</v>
      </c>
      <c r="I39" s="222">
        <f>SUMIFS(CCTSAS[heures annuelles
selon contrat(s)],CCTSAS[Allocation fonctions],"Encadrement",CCTSAS[Carrière],ETPRECAP[[#This Row],[Carrière]])</f>
        <v>0</v>
      </c>
      <c r="J39" s="223" t="e">
        <f>ETPRECAP[[#This Row],[Heures ETP Encadrement]]/$I$15</f>
        <v>#DIV/0!</v>
      </c>
      <c r="K39" s="222">
        <f>ETPRECAP[[#This Row],[Heures ETP Encadrement]]/RTT!$D$7</f>
        <v>0</v>
      </c>
      <c r="L39" s="23"/>
    </row>
    <row r="40" spans="2:12" x14ac:dyDescent="0.25">
      <c r="B40" s="23" t="s">
        <v>178</v>
      </c>
      <c r="C40" s="23" t="s">
        <v>538</v>
      </c>
      <c r="D40" s="222">
        <f>SUMIF(CCTSAS[Carrière],ETPRECAP[[#This Row],[Carrière]],CCTSAS[heures annuelles
selon contrat(s)])</f>
        <v>0</v>
      </c>
      <c r="E40" s="223" t="e">
        <f>ETPRECAP[[#This Row],[Heures ETP]]/$D$15</f>
        <v>#DIV/0!</v>
      </c>
      <c r="F40" s="222">
        <f>ETPRECAP[[#This Row],[Heures ETP]]/RTT!$D$7</f>
        <v>0</v>
      </c>
      <c r="G40" s="222">
        <f>COUNTIF(CCTSAS[Carrière],ETPRECAP[[#This Row],[Carrière]])</f>
        <v>0</v>
      </c>
      <c r="H40" s="222">
        <f>IF(ETPRECAP[[#This Row],[Nombre empl.]]=0,0,SUMIF(CCTSAS[Carrière],ETPRECAP[[#This Row],[Carrière]],CCTSAS[Années
(Ancienneté)])/ETPRECAP[[#This Row],[Nombre empl.]])</f>
        <v>0</v>
      </c>
      <c r="I40" s="222">
        <f>SUMIFS(CCTSAS[heures annuelles
selon contrat(s)],CCTSAS[Allocation fonctions],"Encadrement",CCTSAS[Carrière],ETPRECAP[[#This Row],[Carrière]])</f>
        <v>0</v>
      </c>
      <c r="J40" s="223" t="e">
        <f>ETPRECAP[[#This Row],[Heures ETP Encadrement]]/$I$15</f>
        <v>#DIV/0!</v>
      </c>
      <c r="K40" s="222">
        <f>ETPRECAP[[#This Row],[Heures ETP Encadrement]]/RTT!$D$7</f>
        <v>0</v>
      </c>
      <c r="L40" s="23"/>
    </row>
    <row r="41" spans="2:12" x14ac:dyDescent="0.25">
      <c r="B41" s="23" t="s">
        <v>180</v>
      </c>
      <c r="C41" s="23" t="s">
        <v>538</v>
      </c>
      <c r="D41" s="222">
        <f>SUMIF(CCTSAS[Carrière],ETPRECAP[[#This Row],[Carrière]],CCTSAS[heures annuelles
selon contrat(s)])</f>
        <v>0</v>
      </c>
      <c r="E41" s="223" t="e">
        <f>ETPRECAP[[#This Row],[Heures ETP]]/$D$15</f>
        <v>#DIV/0!</v>
      </c>
      <c r="F41" s="222">
        <f>ETPRECAP[[#This Row],[Heures ETP]]/RTT!$D$7</f>
        <v>0</v>
      </c>
      <c r="G41" s="222">
        <f>COUNTIF(CCTSAS[Carrière],ETPRECAP[[#This Row],[Carrière]])</f>
        <v>0</v>
      </c>
      <c r="H41" s="222">
        <f>IF(ETPRECAP[[#This Row],[Nombre empl.]]=0,0,SUMIF(CCTSAS[Carrière],ETPRECAP[[#This Row],[Carrière]],CCTSAS[Années
(Ancienneté)])/ETPRECAP[[#This Row],[Nombre empl.]])</f>
        <v>0</v>
      </c>
      <c r="I41" s="222">
        <f>SUMIFS(CCTSAS[heures annuelles
selon contrat(s)],CCTSAS[Allocation fonctions],"Encadrement",CCTSAS[Carrière],ETPRECAP[[#This Row],[Carrière]])</f>
        <v>0</v>
      </c>
      <c r="J41" s="223" t="e">
        <f>ETPRECAP[[#This Row],[Heures ETP Encadrement]]/$I$15</f>
        <v>#DIV/0!</v>
      </c>
      <c r="K41" s="222">
        <f>ETPRECAP[[#This Row],[Heures ETP Encadrement]]/RTT!$D$7</f>
        <v>0</v>
      </c>
      <c r="L41" s="23"/>
    </row>
    <row r="42" spans="2:12" x14ac:dyDescent="0.25">
      <c r="B42" s="23" t="s">
        <v>181</v>
      </c>
      <c r="C42" s="23" t="s">
        <v>538</v>
      </c>
      <c r="D42" s="222">
        <f>SUMIF(CCTSAS[Carrière],ETPRECAP[[#This Row],[Carrière]],CCTSAS[heures annuelles
selon contrat(s)])</f>
        <v>0</v>
      </c>
      <c r="E42" s="223" t="e">
        <f>ETPRECAP[[#This Row],[Heures ETP]]/$D$15</f>
        <v>#DIV/0!</v>
      </c>
      <c r="F42" s="222">
        <f>ETPRECAP[[#This Row],[Heures ETP]]/RTT!$D$7</f>
        <v>0</v>
      </c>
      <c r="G42" s="222">
        <f>COUNTIF(CCTSAS[Carrière],ETPRECAP[[#This Row],[Carrière]])</f>
        <v>0</v>
      </c>
      <c r="H42" s="222">
        <f>IF(ETPRECAP[[#This Row],[Nombre empl.]]=0,0,SUMIF(CCTSAS[Carrière],ETPRECAP[[#This Row],[Carrière]],CCTSAS[Années
(Ancienneté)])/ETPRECAP[[#This Row],[Nombre empl.]])</f>
        <v>0</v>
      </c>
      <c r="I42" s="222">
        <f>SUMIFS(CCTSAS[heures annuelles
selon contrat(s)],CCTSAS[Allocation fonctions],"Encadrement",CCTSAS[Carrière],ETPRECAP[[#This Row],[Carrière]])</f>
        <v>0</v>
      </c>
      <c r="J42" s="223" t="e">
        <f>ETPRECAP[[#This Row],[Heures ETP Encadrement]]/$I$15</f>
        <v>#DIV/0!</v>
      </c>
      <c r="K42" s="222">
        <f>ETPRECAP[[#This Row],[Heures ETP Encadrement]]/RTT!$D$7</f>
        <v>0</v>
      </c>
      <c r="L42" s="23"/>
    </row>
    <row r="43" spans="2:12" x14ac:dyDescent="0.25">
      <c r="B43" s="23" t="s">
        <v>183</v>
      </c>
      <c r="C43" s="23" t="s">
        <v>538</v>
      </c>
      <c r="D43" s="222">
        <f>SUMIF(CCTSAS[Carrière],ETPRECAP[[#This Row],[Carrière]],CCTSAS[heures annuelles
selon contrat(s)])</f>
        <v>0</v>
      </c>
      <c r="E43" s="223" t="e">
        <f>ETPRECAP[[#This Row],[Heures ETP]]/$D$15</f>
        <v>#DIV/0!</v>
      </c>
      <c r="F43" s="222">
        <f>ETPRECAP[[#This Row],[Heures ETP]]/RTT!$D$7</f>
        <v>0</v>
      </c>
      <c r="G43" s="222">
        <f>COUNTIF(CCTSAS[Carrière],ETPRECAP[[#This Row],[Carrière]])</f>
        <v>0</v>
      </c>
      <c r="H43" s="222">
        <f>IF(ETPRECAP[[#This Row],[Nombre empl.]]=0,0,SUMIF(CCTSAS[Carrière],ETPRECAP[[#This Row],[Carrière]],CCTSAS[Années
(Ancienneté)])/ETPRECAP[[#This Row],[Nombre empl.]])</f>
        <v>0</v>
      </c>
      <c r="I43" s="222">
        <f>SUMIFS(CCTSAS[heures annuelles
selon contrat(s)],CCTSAS[Allocation fonctions],"Encadrement",CCTSAS[Carrière],ETPRECAP[[#This Row],[Carrière]])</f>
        <v>0</v>
      </c>
      <c r="J43" s="223" t="e">
        <f>ETPRECAP[[#This Row],[Heures ETP Encadrement]]/$I$15</f>
        <v>#DIV/0!</v>
      </c>
      <c r="K43" s="222">
        <f>ETPRECAP[[#This Row],[Heures ETP Encadrement]]/RTT!$D$7</f>
        <v>0</v>
      </c>
      <c r="L43" s="23"/>
    </row>
    <row r="44" spans="2:12" x14ac:dyDescent="0.25">
      <c r="B44" s="23" t="s">
        <v>184</v>
      </c>
      <c r="C44" s="23" t="s">
        <v>538</v>
      </c>
      <c r="D44" s="222">
        <f>SUMIF(CCTSAS[Carrière],ETPRECAP[[#This Row],[Carrière]],CCTSAS[heures annuelles
selon contrat(s)])</f>
        <v>0</v>
      </c>
      <c r="E44" s="223" t="e">
        <f>ETPRECAP[[#This Row],[Heures ETP]]/$D$15</f>
        <v>#DIV/0!</v>
      </c>
      <c r="F44" s="222">
        <f>ETPRECAP[[#This Row],[Heures ETP]]/RTT!$D$7</f>
        <v>0</v>
      </c>
      <c r="G44" s="222">
        <f>COUNTIF(CCTSAS[Carrière],ETPRECAP[[#This Row],[Carrière]])</f>
        <v>0</v>
      </c>
      <c r="H44" s="222">
        <f>IF(ETPRECAP[[#This Row],[Nombre empl.]]=0,0,SUMIF(CCTSAS[Carrière],ETPRECAP[[#This Row],[Carrière]],CCTSAS[Années
(Ancienneté)])/ETPRECAP[[#This Row],[Nombre empl.]])</f>
        <v>0</v>
      </c>
      <c r="I44" s="222">
        <f>SUMIFS(CCTSAS[heures annuelles
selon contrat(s)],CCTSAS[Allocation fonctions],"Encadrement",CCTSAS[Carrière],ETPRECAP[[#This Row],[Carrière]])</f>
        <v>0</v>
      </c>
      <c r="J44" s="223" t="e">
        <f>ETPRECAP[[#This Row],[Heures ETP Encadrement]]/$I$15</f>
        <v>#DIV/0!</v>
      </c>
      <c r="K44" s="222">
        <f>ETPRECAP[[#This Row],[Heures ETP Encadrement]]/RTT!$D$7</f>
        <v>0</v>
      </c>
      <c r="L44" s="23"/>
    </row>
    <row r="45" spans="2:12" x14ac:dyDescent="0.25">
      <c r="B45" s="23" t="s">
        <v>186</v>
      </c>
      <c r="C45" s="23" t="s">
        <v>538</v>
      </c>
      <c r="D45" s="222">
        <f>SUMIF(CCTSAS[Carrière],ETPRECAP[[#This Row],[Carrière]],CCTSAS[heures annuelles
selon contrat(s)])</f>
        <v>0</v>
      </c>
      <c r="E45" s="223" t="e">
        <f>ETPRECAP[[#This Row],[Heures ETP]]/$D$15</f>
        <v>#DIV/0!</v>
      </c>
      <c r="F45" s="222">
        <f>ETPRECAP[[#This Row],[Heures ETP]]/RTT!$D$7</f>
        <v>0</v>
      </c>
      <c r="G45" s="222">
        <f>COUNTIF(CCTSAS[Carrière],ETPRECAP[[#This Row],[Carrière]])</f>
        <v>0</v>
      </c>
      <c r="H45" s="222">
        <f>IF(ETPRECAP[[#This Row],[Nombre empl.]]=0,0,SUMIF(CCTSAS[Carrière],ETPRECAP[[#This Row],[Carrière]],CCTSAS[Années
(Ancienneté)])/ETPRECAP[[#This Row],[Nombre empl.]])</f>
        <v>0</v>
      </c>
      <c r="I45" s="222">
        <f>SUMIFS(CCTSAS[heures annuelles
selon contrat(s)],CCTSAS[Allocation fonctions],"Encadrement",CCTSAS[Carrière],ETPRECAP[[#This Row],[Carrière]])</f>
        <v>0</v>
      </c>
      <c r="J45" s="223" t="e">
        <f>ETPRECAP[[#This Row],[Heures ETP Encadrement]]/$I$15</f>
        <v>#DIV/0!</v>
      </c>
      <c r="K45" s="222">
        <f>ETPRECAP[[#This Row],[Heures ETP Encadrement]]/RTT!$D$7</f>
        <v>0</v>
      </c>
      <c r="L45" s="23"/>
    </row>
    <row r="46" spans="2:12" x14ac:dyDescent="0.25">
      <c r="B46" s="23" t="s">
        <v>187</v>
      </c>
      <c r="C46" s="23" t="s">
        <v>538</v>
      </c>
      <c r="D46" s="222">
        <f>SUMIF(CCTSAS[Carrière],ETPRECAP[[#This Row],[Carrière]],CCTSAS[heures annuelles
selon contrat(s)])</f>
        <v>0</v>
      </c>
      <c r="E46" s="223" t="e">
        <f>ETPRECAP[[#This Row],[Heures ETP]]/$D$15</f>
        <v>#DIV/0!</v>
      </c>
      <c r="F46" s="222">
        <f>ETPRECAP[[#This Row],[Heures ETP]]/RTT!$D$7</f>
        <v>0</v>
      </c>
      <c r="G46" s="222">
        <f>COUNTIF(CCTSAS[Carrière],ETPRECAP[[#This Row],[Carrière]])</f>
        <v>0</v>
      </c>
      <c r="H46" s="222">
        <f>IF(ETPRECAP[[#This Row],[Nombre empl.]]=0,0,SUMIF(CCTSAS[Carrière],ETPRECAP[[#This Row],[Carrière]],CCTSAS[Années
(Ancienneté)])/ETPRECAP[[#This Row],[Nombre empl.]])</f>
        <v>0</v>
      </c>
      <c r="I46" s="222">
        <f>SUMIFS(CCTSAS[heures annuelles
selon contrat(s)],CCTSAS[Allocation fonctions],"Encadrement",CCTSAS[Carrière],ETPRECAP[[#This Row],[Carrière]])</f>
        <v>0</v>
      </c>
      <c r="J46" s="223" t="e">
        <f>ETPRECAP[[#This Row],[Heures ETP Encadrement]]/$I$15</f>
        <v>#DIV/0!</v>
      </c>
      <c r="K46" s="222">
        <f>ETPRECAP[[#This Row],[Heures ETP Encadrement]]/RTT!$D$7</f>
        <v>0</v>
      </c>
      <c r="L46" s="23"/>
    </row>
    <row r="47" spans="2:12" x14ac:dyDescent="0.25">
      <c r="B47" s="23" t="s">
        <v>189</v>
      </c>
      <c r="C47" s="23" t="s">
        <v>538</v>
      </c>
      <c r="D47" s="222">
        <f>SUMIF(CCTSAS[Carrière],ETPRECAP[[#This Row],[Carrière]],CCTSAS[heures annuelles
selon contrat(s)])</f>
        <v>0</v>
      </c>
      <c r="E47" s="223" t="e">
        <f>ETPRECAP[[#This Row],[Heures ETP]]/$D$15</f>
        <v>#DIV/0!</v>
      </c>
      <c r="F47" s="222">
        <f>ETPRECAP[[#This Row],[Heures ETP]]/RTT!$D$7</f>
        <v>0</v>
      </c>
      <c r="G47" s="222">
        <f>COUNTIF(CCTSAS[Carrière],ETPRECAP[[#This Row],[Carrière]])</f>
        <v>0</v>
      </c>
      <c r="H47" s="222">
        <f>IF(ETPRECAP[[#This Row],[Nombre empl.]]=0,0,SUMIF(CCTSAS[Carrière],ETPRECAP[[#This Row],[Carrière]],CCTSAS[Années
(Ancienneté)])/ETPRECAP[[#This Row],[Nombre empl.]])</f>
        <v>0</v>
      </c>
      <c r="I47" s="222">
        <f>SUMIFS(CCTSAS[heures annuelles
selon contrat(s)],CCTSAS[Allocation fonctions],"Encadrement",CCTSAS[Carrière],ETPRECAP[[#This Row],[Carrière]])</f>
        <v>0</v>
      </c>
      <c r="J47" s="223" t="e">
        <f>ETPRECAP[[#This Row],[Heures ETP Encadrement]]/$I$15</f>
        <v>#DIV/0!</v>
      </c>
      <c r="K47" s="222">
        <f>ETPRECAP[[#This Row],[Heures ETP Encadrement]]/RTT!$D$7</f>
        <v>0</v>
      </c>
      <c r="L47" s="23"/>
    </row>
    <row r="48" spans="2:12" x14ac:dyDescent="0.25">
      <c r="B48" s="23" t="s">
        <v>192</v>
      </c>
      <c r="C48" s="23" t="s">
        <v>538</v>
      </c>
      <c r="D48" s="222">
        <f>SUMIF(CCTSAS[Carrière],ETPRECAP[[#This Row],[Carrière]],CCTSAS[heures annuelles
selon contrat(s)])</f>
        <v>0</v>
      </c>
      <c r="E48" s="223" t="e">
        <f>ETPRECAP[[#This Row],[Heures ETP]]/$D$15</f>
        <v>#DIV/0!</v>
      </c>
      <c r="F48" s="222">
        <f>ETPRECAP[[#This Row],[Heures ETP]]/RTT!$D$7</f>
        <v>0</v>
      </c>
      <c r="G48" s="222">
        <f>COUNTIF(CCTSAS[Carrière],ETPRECAP[[#This Row],[Carrière]])</f>
        <v>0</v>
      </c>
      <c r="H48" s="222">
        <f>IF(ETPRECAP[[#This Row],[Nombre empl.]]=0,0,SUMIF(CCTSAS[Carrière],ETPRECAP[[#This Row],[Carrière]],CCTSAS[Années
(Ancienneté)])/ETPRECAP[[#This Row],[Nombre empl.]])</f>
        <v>0</v>
      </c>
      <c r="I48" s="222">
        <f>SUMIFS(CCTSAS[heures annuelles
selon contrat(s)],CCTSAS[Allocation fonctions],"Encadrement",CCTSAS[Carrière],ETPRECAP[[#This Row],[Carrière]])</f>
        <v>0</v>
      </c>
      <c r="J48" s="223" t="e">
        <f>ETPRECAP[[#This Row],[Heures ETP Encadrement]]/$I$15</f>
        <v>#DIV/0!</v>
      </c>
      <c r="K48" s="222">
        <f>ETPRECAP[[#This Row],[Heures ETP Encadrement]]/RTT!$D$7</f>
        <v>0</v>
      </c>
      <c r="L48" s="23"/>
    </row>
    <row r="49" spans="2:12" x14ac:dyDescent="0.25">
      <c r="B49" s="23" t="s">
        <v>194</v>
      </c>
      <c r="C49" s="23" t="s">
        <v>538</v>
      </c>
      <c r="D49" s="222">
        <f>SUMIF(CCTSAS[Carrière],ETPRECAP[[#This Row],[Carrière]],CCTSAS[heures annuelles
selon contrat(s)])</f>
        <v>0</v>
      </c>
      <c r="E49" s="223" t="e">
        <f>ETPRECAP[[#This Row],[Heures ETP]]/$D$15</f>
        <v>#DIV/0!</v>
      </c>
      <c r="F49" s="222">
        <f>ETPRECAP[[#This Row],[Heures ETP]]/RTT!$D$7</f>
        <v>0</v>
      </c>
      <c r="G49" s="222">
        <f>COUNTIF(CCTSAS[Carrière],ETPRECAP[[#This Row],[Carrière]])</f>
        <v>0</v>
      </c>
      <c r="H49" s="222">
        <f>IF(ETPRECAP[[#This Row],[Nombre empl.]]=0,0,SUMIF(CCTSAS[Carrière],ETPRECAP[[#This Row],[Carrière]],CCTSAS[Années
(Ancienneté)])/ETPRECAP[[#This Row],[Nombre empl.]])</f>
        <v>0</v>
      </c>
      <c r="I49" s="222">
        <f>SUMIFS(CCTSAS[heures annuelles
selon contrat(s)],CCTSAS[Allocation fonctions],"Encadrement",CCTSAS[Carrière],ETPRECAP[[#This Row],[Carrière]])</f>
        <v>0</v>
      </c>
      <c r="J49" s="223" t="e">
        <f>ETPRECAP[[#This Row],[Heures ETP Encadrement]]/$I$15</f>
        <v>#DIV/0!</v>
      </c>
      <c r="K49" s="222">
        <f>ETPRECAP[[#This Row],[Heures ETP Encadrement]]/RTT!$D$7</f>
        <v>0</v>
      </c>
      <c r="L49" s="23"/>
    </row>
    <row r="50" spans="2:12" x14ac:dyDescent="0.25">
      <c r="B50" s="23" t="s">
        <v>196</v>
      </c>
      <c r="C50" s="23" t="s">
        <v>538</v>
      </c>
      <c r="D50" s="222">
        <f>SUMIF(CCTSAS[Carrière],ETPRECAP[[#This Row],[Carrière]],CCTSAS[heures annuelles
selon contrat(s)])</f>
        <v>0</v>
      </c>
      <c r="E50" s="223" t="e">
        <f>ETPRECAP[[#This Row],[Heures ETP]]/$D$15</f>
        <v>#DIV/0!</v>
      </c>
      <c r="F50" s="222">
        <f>ETPRECAP[[#This Row],[Heures ETP]]/RTT!$D$7</f>
        <v>0</v>
      </c>
      <c r="G50" s="222">
        <f>COUNTIF(CCTSAS[Carrière],ETPRECAP[[#This Row],[Carrière]])</f>
        <v>0</v>
      </c>
      <c r="H50" s="222">
        <f>IF(ETPRECAP[[#This Row],[Nombre empl.]]=0,0,SUMIF(CCTSAS[Carrière],ETPRECAP[[#This Row],[Carrière]],CCTSAS[Années
(Ancienneté)])/ETPRECAP[[#This Row],[Nombre empl.]])</f>
        <v>0</v>
      </c>
      <c r="I50" s="222">
        <f>SUMIFS(CCTSAS[heures annuelles
selon contrat(s)],CCTSAS[Allocation fonctions],"Encadrement",CCTSAS[Carrière],ETPRECAP[[#This Row],[Carrière]])</f>
        <v>0</v>
      </c>
      <c r="J50" s="223" t="e">
        <f>ETPRECAP[[#This Row],[Heures ETP Encadrement]]/$I$15</f>
        <v>#DIV/0!</v>
      </c>
      <c r="K50" s="222">
        <f>ETPRECAP[[#This Row],[Heures ETP Encadrement]]/RTT!$D$7</f>
        <v>0</v>
      </c>
      <c r="L50" s="23"/>
    </row>
    <row r="51" spans="2:12" x14ac:dyDescent="0.25">
      <c r="B51" s="23" t="s">
        <v>198</v>
      </c>
      <c r="C51" s="23" t="s">
        <v>538</v>
      </c>
      <c r="D51" s="222">
        <f>SUMIF(CCTSAS[Carrière],ETPRECAP[[#This Row],[Carrière]],CCTSAS[heures annuelles
selon contrat(s)])</f>
        <v>0</v>
      </c>
      <c r="E51" s="223" t="e">
        <f>ETPRECAP[[#This Row],[Heures ETP]]/$D$15</f>
        <v>#DIV/0!</v>
      </c>
      <c r="F51" s="222">
        <f>ETPRECAP[[#This Row],[Heures ETP]]/RTT!$D$7</f>
        <v>0</v>
      </c>
      <c r="G51" s="222">
        <f>COUNTIF(CCTSAS[Carrière],ETPRECAP[[#This Row],[Carrière]])</f>
        <v>0</v>
      </c>
      <c r="H51" s="222">
        <f>IF(ETPRECAP[[#This Row],[Nombre empl.]]=0,0,SUMIF(CCTSAS[Carrière],ETPRECAP[[#This Row],[Carrière]],CCTSAS[Années
(Ancienneté)])/ETPRECAP[[#This Row],[Nombre empl.]])</f>
        <v>0</v>
      </c>
      <c r="I51" s="222">
        <f>SUMIFS(CCTSAS[heures annuelles
selon contrat(s)],CCTSAS[Allocation fonctions],"Encadrement",CCTSAS[Carrière],ETPRECAP[[#This Row],[Carrière]])</f>
        <v>0</v>
      </c>
      <c r="J51" s="223" t="e">
        <f>ETPRECAP[[#This Row],[Heures ETP Encadrement]]/$I$15</f>
        <v>#DIV/0!</v>
      </c>
      <c r="K51" s="222">
        <f>ETPRECAP[[#This Row],[Heures ETP Encadrement]]/RTT!$D$7</f>
        <v>0</v>
      </c>
      <c r="L51" s="23"/>
    </row>
    <row r="52" spans="2:12" x14ac:dyDescent="0.25">
      <c r="B52" s="23" t="s">
        <v>199</v>
      </c>
      <c r="C52" s="23" t="s">
        <v>538</v>
      </c>
      <c r="D52" s="222">
        <f>SUMIF(CCTSAS[Carrière],ETPRECAP[[#This Row],[Carrière]],CCTSAS[heures annuelles
selon contrat(s)])</f>
        <v>0</v>
      </c>
      <c r="E52" s="223" t="e">
        <f>ETPRECAP[[#This Row],[Heures ETP]]/$D$15</f>
        <v>#DIV/0!</v>
      </c>
      <c r="F52" s="222">
        <f>ETPRECAP[[#This Row],[Heures ETP]]/RTT!$D$7</f>
        <v>0</v>
      </c>
      <c r="G52" s="222">
        <f>COUNTIF(CCTSAS[Carrière],ETPRECAP[[#This Row],[Carrière]])</f>
        <v>0</v>
      </c>
      <c r="H52" s="222">
        <f>IF(ETPRECAP[[#This Row],[Nombre empl.]]=0,0,SUMIF(CCTSAS[Carrière],ETPRECAP[[#This Row],[Carrière]],CCTSAS[Années
(Ancienneté)])/ETPRECAP[[#This Row],[Nombre empl.]])</f>
        <v>0</v>
      </c>
      <c r="I52" s="222">
        <f>SUMIFS(CCTSAS[heures annuelles
selon contrat(s)],CCTSAS[Allocation fonctions],"Encadrement",CCTSAS[Carrière],ETPRECAP[[#This Row],[Carrière]])</f>
        <v>0</v>
      </c>
      <c r="J52" s="223" t="e">
        <f>ETPRECAP[[#This Row],[Heures ETP Encadrement]]/$I$15</f>
        <v>#DIV/0!</v>
      </c>
      <c r="K52" s="222">
        <f>ETPRECAP[[#This Row],[Heures ETP Encadrement]]/RTT!$D$7</f>
        <v>0</v>
      </c>
      <c r="L52" s="23"/>
    </row>
    <row r="53" spans="2:12" x14ac:dyDescent="0.25">
      <c r="B53" s="23" t="s">
        <v>200</v>
      </c>
      <c r="C53" s="23" t="s">
        <v>538</v>
      </c>
      <c r="D53" s="222">
        <f>SUMIF(CCTSAS[Carrière],ETPRECAP[[#This Row],[Carrière]],CCTSAS[heures annuelles
selon contrat(s)])</f>
        <v>0</v>
      </c>
      <c r="E53" s="223" t="e">
        <f>ETPRECAP[[#This Row],[Heures ETP]]/$D$15</f>
        <v>#DIV/0!</v>
      </c>
      <c r="F53" s="222">
        <f>ETPRECAP[[#This Row],[Heures ETP]]/RTT!$D$7</f>
        <v>0</v>
      </c>
      <c r="G53" s="222">
        <f>COUNTIF(CCTSAS[Carrière],ETPRECAP[[#This Row],[Carrière]])</f>
        <v>0</v>
      </c>
      <c r="H53" s="222">
        <f>IF(ETPRECAP[[#This Row],[Nombre empl.]]=0,0,SUMIF(CCTSAS[Carrière],ETPRECAP[[#This Row],[Carrière]],CCTSAS[Années
(Ancienneté)])/ETPRECAP[[#This Row],[Nombre empl.]])</f>
        <v>0</v>
      </c>
      <c r="I53" s="222">
        <f>SUMIFS(CCTSAS[heures annuelles
selon contrat(s)],CCTSAS[Allocation fonctions],"Encadrement",CCTSAS[Carrière],ETPRECAP[[#This Row],[Carrière]])</f>
        <v>0</v>
      </c>
      <c r="J53" s="223" t="e">
        <f>ETPRECAP[[#This Row],[Heures ETP Encadrement]]/$I$15</f>
        <v>#DIV/0!</v>
      </c>
      <c r="K53" s="222">
        <f>ETPRECAP[[#This Row],[Heures ETP Encadrement]]/RTT!$D$7</f>
        <v>0</v>
      </c>
      <c r="L53" s="23"/>
    </row>
    <row r="54" spans="2:12" x14ac:dyDescent="0.25">
      <c r="B54" s="23" t="s">
        <v>255</v>
      </c>
      <c r="C54" s="23" t="s">
        <v>538</v>
      </c>
      <c r="D54" s="222">
        <f>SUMIF(CCTSAS[Carrière],ETPRECAP[[#This Row],[Carrière]],CCTSAS[heures annuelles
selon contrat(s)])</f>
        <v>0</v>
      </c>
      <c r="E54" s="223" t="e">
        <f>ETPRECAP[[#This Row],[Heures ETP]]/$D$15</f>
        <v>#DIV/0!</v>
      </c>
      <c r="F54" s="222">
        <f>ETPRECAP[[#This Row],[Heures ETP]]/RTT!$D$7</f>
        <v>0</v>
      </c>
      <c r="G54" s="222">
        <f>COUNTIF(CCTSAS[Carrière],ETPRECAP[[#This Row],[Carrière]])</f>
        <v>0</v>
      </c>
      <c r="H54" s="222">
        <f>IF(ETPRECAP[[#This Row],[Nombre empl.]]=0,0,SUMIF(CCTSAS[Carrière],ETPRECAP[[#This Row],[Carrière]],CCTSAS[Années
(Ancienneté)])/ETPRECAP[[#This Row],[Nombre empl.]])</f>
        <v>0</v>
      </c>
      <c r="I54" s="222">
        <f>SUMIFS(CCTSAS[heures annuelles
selon contrat(s)],CCTSAS[Allocation fonctions],"Encadrement",CCTSAS[Carrière],ETPRECAP[[#This Row],[Carrière]])</f>
        <v>0</v>
      </c>
      <c r="J54" s="223" t="e">
        <f>ETPRECAP[[#This Row],[Heures ETP Encadrement]]/$I$15</f>
        <v>#DIV/0!</v>
      </c>
      <c r="K54" s="222">
        <f>ETPRECAP[[#This Row],[Heures ETP Encadrement]]/RTT!$D$7</f>
        <v>0</v>
      </c>
      <c r="L54" s="23"/>
    </row>
    <row r="55" spans="2:12" x14ac:dyDescent="0.25">
      <c r="B55" s="23" t="s">
        <v>256</v>
      </c>
      <c r="C55" s="23" t="s">
        <v>538</v>
      </c>
      <c r="D55" s="222">
        <f>SUMIF(CCTSAS[Carrière],ETPRECAP[[#This Row],[Carrière]],CCTSAS[heures annuelles
selon contrat(s)])</f>
        <v>0</v>
      </c>
      <c r="E55" s="223" t="e">
        <f>ETPRECAP[[#This Row],[Heures ETP]]/$D$15</f>
        <v>#DIV/0!</v>
      </c>
      <c r="F55" s="222">
        <f>ETPRECAP[[#This Row],[Heures ETP]]/RTT!$D$7</f>
        <v>0</v>
      </c>
      <c r="G55" s="222">
        <f>COUNTIF(CCTSAS[Carrière],ETPRECAP[[#This Row],[Carrière]])</f>
        <v>0</v>
      </c>
      <c r="H55" s="222">
        <f>IF(ETPRECAP[[#This Row],[Nombre empl.]]=0,0,SUMIF(CCTSAS[Carrière],ETPRECAP[[#This Row],[Carrière]],CCTSAS[Années
(Ancienneté)])/ETPRECAP[[#This Row],[Nombre empl.]])</f>
        <v>0</v>
      </c>
      <c r="I55" s="222">
        <f>SUMIFS(CCTSAS[heures annuelles
selon contrat(s)],CCTSAS[Allocation fonctions],"Encadrement",CCTSAS[Carrière],ETPRECAP[[#This Row],[Carrière]])</f>
        <v>0</v>
      </c>
      <c r="J55" s="223" t="e">
        <f>ETPRECAP[[#This Row],[Heures ETP Encadrement]]/$I$15</f>
        <v>#DIV/0!</v>
      </c>
      <c r="K55" s="222">
        <f>ETPRECAP[[#This Row],[Heures ETP Encadrement]]/RTT!$D$7</f>
        <v>0</v>
      </c>
      <c r="L55" s="23"/>
    </row>
    <row r="56" spans="2:12" x14ac:dyDescent="0.25">
      <c r="B56" s="23" t="s">
        <v>257</v>
      </c>
      <c r="C56" s="23" t="s">
        <v>538</v>
      </c>
      <c r="D56" s="222">
        <f>SUMIF(CCTSAS[Carrière],ETPRECAP[[#This Row],[Carrière]],CCTSAS[heures annuelles
selon contrat(s)])</f>
        <v>0</v>
      </c>
      <c r="E56" s="223" t="e">
        <f>ETPRECAP[[#This Row],[Heures ETP]]/$D$15</f>
        <v>#DIV/0!</v>
      </c>
      <c r="F56" s="222">
        <f>ETPRECAP[[#This Row],[Heures ETP]]/RTT!$D$7</f>
        <v>0</v>
      </c>
      <c r="G56" s="222">
        <f>COUNTIF(CCTSAS[Carrière],ETPRECAP[[#This Row],[Carrière]])</f>
        <v>0</v>
      </c>
      <c r="H56" s="222">
        <f>IF(ETPRECAP[[#This Row],[Nombre empl.]]=0,0,SUMIF(CCTSAS[Carrière],ETPRECAP[[#This Row],[Carrière]],CCTSAS[Années
(Ancienneté)])/ETPRECAP[[#This Row],[Nombre empl.]])</f>
        <v>0</v>
      </c>
      <c r="I56" s="222">
        <f>SUMIFS(CCTSAS[heures annuelles
selon contrat(s)],CCTSAS[Allocation fonctions],"Encadrement",CCTSAS[Carrière],ETPRECAP[[#This Row],[Carrière]])</f>
        <v>0</v>
      </c>
      <c r="J56" s="223" t="e">
        <f>ETPRECAP[[#This Row],[Heures ETP Encadrement]]/$I$15</f>
        <v>#DIV/0!</v>
      </c>
      <c r="K56" s="222">
        <f>ETPRECAP[[#This Row],[Heures ETP Encadrement]]/RTT!$D$7</f>
        <v>0</v>
      </c>
      <c r="L56" s="23"/>
    </row>
    <row r="57" spans="2:12" x14ac:dyDescent="0.25">
      <c r="B57" s="23" t="s">
        <v>258</v>
      </c>
      <c r="C57" s="23" t="s">
        <v>538</v>
      </c>
      <c r="D57" s="222">
        <f>SUMIF(CCTSAS[Carrière],ETPRECAP[[#This Row],[Carrière]],CCTSAS[heures annuelles
selon contrat(s)])</f>
        <v>0</v>
      </c>
      <c r="E57" s="223" t="e">
        <f>ETPRECAP[[#This Row],[Heures ETP]]/$D$15</f>
        <v>#DIV/0!</v>
      </c>
      <c r="F57" s="222">
        <f>ETPRECAP[[#This Row],[Heures ETP]]/RTT!$D$7</f>
        <v>0</v>
      </c>
      <c r="G57" s="222">
        <f>COUNTIF(CCTSAS[Carrière],ETPRECAP[[#This Row],[Carrière]])</f>
        <v>0</v>
      </c>
      <c r="H57" s="222">
        <f>IF(ETPRECAP[[#This Row],[Nombre empl.]]=0,0,SUMIF(CCTSAS[Carrière],ETPRECAP[[#This Row],[Carrière]],CCTSAS[Années
(Ancienneté)])/ETPRECAP[[#This Row],[Nombre empl.]])</f>
        <v>0</v>
      </c>
      <c r="I57" s="222">
        <f>SUMIFS(CCTSAS[heures annuelles
selon contrat(s)],CCTSAS[Allocation fonctions],"Encadrement",CCTSAS[Carrière],ETPRECAP[[#This Row],[Carrière]])</f>
        <v>0</v>
      </c>
      <c r="J57" s="223" t="e">
        <f>ETPRECAP[[#This Row],[Heures ETP Encadrement]]/$I$15</f>
        <v>#DIV/0!</v>
      </c>
      <c r="K57" s="222">
        <f>ETPRECAP[[#This Row],[Heures ETP Encadrement]]/RTT!$D$7</f>
        <v>0</v>
      </c>
      <c r="L57" s="23"/>
    </row>
    <row r="58" spans="2:12" x14ac:dyDescent="0.25">
      <c r="B58" s="23" t="s">
        <v>259</v>
      </c>
      <c r="C58" s="23" t="s">
        <v>538</v>
      </c>
      <c r="D58" s="222">
        <f>SUMIF(CCTSAS[Carrière],ETPRECAP[[#This Row],[Carrière]],CCTSAS[heures annuelles
selon contrat(s)])</f>
        <v>0</v>
      </c>
      <c r="E58" s="223" t="e">
        <f>ETPRECAP[[#This Row],[Heures ETP]]/$D$15</f>
        <v>#DIV/0!</v>
      </c>
      <c r="F58" s="222">
        <f>ETPRECAP[[#This Row],[Heures ETP]]/RTT!$D$7</f>
        <v>0</v>
      </c>
      <c r="G58" s="222">
        <f>COUNTIF(CCTSAS[Carrière],ETPRECAP[[#This Row],[Carrière]])</f>
        <v>0</v>
      </c>
      <c r="H58" s="222">
        <f>IF(ETPRECAP[[#This Row],[Nombre empl.]]=0,0,SUMIF(CCTSAS[Carrière],ETPRECAP[[#This Row],[Carrière]],CCTSAS[Années
(Ancienneté)])/ETPRECAP[[#This Row],[Nombre empl.]])</f>
        <v>0</v>
      </c>
      <c r="I58" s="222">
        <f>SUMIFS(CCTSAS[heures annuelles
selon contrat(s)],CCTSAS[Allocation fonctions],"Encadrement",CCTSAS[Carrière],ETPRECAP[[#This Row],[Carrière]])</f>
        <v>0</v>
      </c>
      <c r="J58" s="223" t="e">
        <f>ETPRECAP[[#This Row],[Heures ETP Encadrement]]/$I$15</f>
        <v>#DIV/0!</v>
      </c>
      <c r="K58" s="222">
        <f>ETPRECAP[[#This Row],[Heures ETP Encadrement]]/RTT!$D$7</f>
        <v>0</v>
      </c>
      <c r="L58" s="23"/>
    </row>
    <row r="59" spans="2:12" x14ac:dyDescent="0.25">
      <c r="B59" s="23" t="s">
        <v>260</v>
      </c>
      <c r="C59" s="23" t="s">
        <v>538</v>
      </c>
      <c r="D59" s="222">
        <f>SUMIF(CCTSAS[Carrière],ETPRECAP[[#This Row],[Carrière]],CCTSAS[heures annuelles
selon contrat(s)])</f>
        <v>0</v>
      </c>
      <c r="E59" s="223" t="e">
        <f>ETPRECAP[[#This Row],[Heures ETP]]/$D$15</f>
        <v>#DIV/0!</v>
      </c>
      <c r="F59" s="222">
        <f>ETPRECAP[[#This Row],[Heures ETP]]/RTT!$D$7</f>
        <v>0</v>
      </c>
      <c r="G59" s="222">
        <f>COUNTIF(CCTSAS[Carrière],ETPRECAP[[#This Row],[Carrière]])</f>
        <v>0</v>
      </c>
      <c r="H59" s="222">
        <f>IF(ETPRECAP[[#This Row],[Nombre empl.]]=0,0,SUMIF(CCTSAS[Carrière],ETPRECAP[[#This Row],[Carrière]],CCTSAS[Années
(Ancienneté)])/ETPRECAP[[#This Row],[Nombre empl.]])</f>
        <v>0</v>
      </c>
      <c r="I59" s="222">
        <f>SUMIFS(CCTSAS[heures annuelles
selon contrat(s)],CCTSAS[Allocation fonctions],"Encadrement",CCTSAS[Carrière],ETPRECAP[[#This Row],[Carrière]])</f>
        <v>0</v>
      </c>
      <c r="J59" s="223" t="e">
        <f>ETPRECAP[[#This Row],[Heures ETP Encadrement]]/$I$15</f>
        <v>#DIV/0!</v>
      </c>
      <c r="K59" s="222">
        <f>ETPRECAP[[#This Row],[Heures ETP Encadrement]]/RTT!$D$7</f>
        <v>0</v>
      </c>
      <c r="L59" s="23"/>
    </row>
    <row r="60" spans="2:12" x14ac:dyDescent="0.25">
      <c r="B60" s="23" t="s">
        <v>261</v>
      </c>
      <c r="C60" s="23" t="s">
        <v>538</v>
      </c>
      <c r="D60" s="222">
        <f>SUMIF(CCTSAS[Carrière],ETPRECAP[[#This Row],[Carrière]],CCTSAS[heures annuelles
selon contrat(s)])</f>
        <v>0</v>
      </c>
      <c r="E60" s="223" t="e">
        <f>ETPRECAP[[#This Row],[Heures ETP]]/$D$15</f>
        <v>#DIV/0!</v>
      </c>
      <c r="F60" s="222">
        <f>ETPRECAP[[#This Row],[Heures ETP]]/RTT!$D$7</f>
        <v>0</v>
      </c>
      <c r="G60" s="222">
        <f>COUNTIF(CCTSAS[Carrière],ETPRECAP[[#This Row],[Carrière]])</f>
        <v>0</v>
      </c>
      <c r="H60" s="222">
        <f>IF(ETPRECAP[[#This Row],[Nombre empl.]]=0,0,SUMIF(CCTSAS[Carrière],ETPRECAP[[#This Row],[Carrière]],CCTSAS[Années
(Ancienneté)])/ETPRECAP[[#This Row],[Nombre empl.]])</f>
        <v>0</v>
      </c>
      <c r="I60" s="222">
        <f>SUMIFS(CCTSAS[heures annuelles
selon contrat(s)],CCTSAS[Allocation fonctions],"Encadrement",CCTSAS[Carrière],ETPRECAP[[#This Row],[Carrière]])</f>
        <v>0</v>
      </c>
      <c r="J60" s="223" t="e">
        <f>ETPRECAP[[#This Row],[Heures ETP Encadrement]]/$I$15</f>
        <v>#DIV/0!</v>
      </c>
      <c r="K60" s="222">
        <f>ETPRECAP[[#This Row],[Heures ETP Encadrement]]/RTT!$D$7</f>
        <v>0</v>
      </c>
      <c r="L60" s="23"/>
    </row>
    <row r="61" spans="2:12" x14ac:dyDescent="0.25">
      <c r="B61" s="23" t="s">
        <v>262</v>
      </c>
      <c r="C61" s="23" t="s">
        <v>538</v>
      </c>
      <c r="D61" s="222">
        <f>SUMIF(CCTSAS[Carrière],ETPRECAP[[#This Row],[Carrière]],CCTSAS[heures annuelles
selon contrat(s)])</f>
        <v>0</v>
      </c>
      <c r="E61" s="223" t="e">
        <f>ETPRECAP[[#This Row],[Heures ETP]]/$D$15</f>
        <v>#DIV/0!</v>
      </c>
      <c r="F61" s="222">
        <f>ETPRECAP[[#This Row],[Heures ETP]]/RTT!$D$7</f>
        <v>0</v>
      </c>
      <c r="G61" s="222">
        <f>COUNTIF(CCTSAS[Carrière],ETPRECAP[[#This Row],[Carrière]])</f>
        <v>0</v>
      </c>
      <c r="H61" s="222">
        <f>IF(ETPRECAP[[#This Row],[Nombre empl.]]=0,0,SUMIF(CCTSAS[Carrière],ETPRECAP[[#This Row],[Carrière]],CCTSAS[Années
(Ancienneté)])/ETPRECAP[[#This Row],[Nombre empl.]])</f>
        <v>0</v>
      </c>
      <c r="I61" s="222">
        <f>SUMIFS(CCTSAS[heures annuelles
selon contrat(s)],CCTSAS[Allocation fonctions],"Encadrement",CCTSAS[Carrière],ETPRECAP[[#This Row],[Carrière]])</f>
        <v>0</v>
      </c>
      <c r="J61" s="223" t="e">
        <f>ETPRECAP[[#This Row],[Heures ETP Encadrement]]/$I$15</f>
        <v>#DIV/0!</v>
      </c>
      <c r="K61" s="222">
        <f>ETPRECAP[[#This Row],[Heures ETP Encadrement]]/RTT!$D$7</f>
        <v>0</v>
      </c>
      <c r="L61" s="23"/>
    </row>
    <row r="62" spans="2:12" x14ac:dyDescent="0.25">
      <c r="B62" s="23" t="s">
        <v>263</v>
      </c>
      <c r="C62" s="23" t="s">
        <v>538</v>
      </c>
      <c r="D62" s="222">
        <f>SUMIF(CCTSAS[Carrière],ETPRECAP[[#This Row],[Carrière]],CCTSAS[heures annuelles
selon contrat(s)])</f>
        <v>0</v>
      </c>
      <c r="E62" s="223" t="e">
        <f>ETPRECAP[[#This Row],[Heures ETP]]/$D$15</f>
        <v>#DIV/0!</v>
      </c>
      <c r="F62" s="222">
        <f>ETPRECAP[[#This Row],[Heures ETP]]/RTT!$D$7</f>
        <v>0</v>
      </c>
      <c r="G62" s="222">
        <f>COUNTIF(CCTSAS[Carrière],ETPRECAP[[#This Row],[Carrière]])</f>
        <v>0</v>
      </c>
      <c r="H62" s="222">
        <f>IF(ETPRECAP[[#This Row],[Nombre empl.]]=0,0,SUMIF(CCTSAS[Carrière],ETPRECAP[[#This Row],[Carrière]],CCTSAS[Années
(Ancienneté)])/ETPRECAP[[#This Row],[Nombre empl.]])</f>
        <v>0</v>
      </c>
      <c r="I62" s="222">
        <f>SUMIFS(CCTSAS[heures annuelles
selon contrat(s)],CCTSAS[Allocation fonctions],"Encadrement",CCTSAS[Carrière],ETPRECAP[[#This Row],[Carrière]])</f>
        <v>0</v>
      </c>
      <c r="J62" s="223" t="e">
        <f>ETPRECAP[[#This Row],[Heures ETP Encadrement]]/$I$15</f>
        <v>#DIV/0!</v>
      </c>
      <c r="K62" s="222">
        <f>ETPRECAP[[#This Row],[Heures ETP Encadrement]]/RTT!$D$7</f>
        <v>0</v>
      </c>
      <c r="L62" s="23"/>
    </row>
    <row r="63" spans="2:12" x14ac:dyDescent="0.25">
      <c r="B63" s="23" t="s">
        <v>264</v>
      </c>
      <c r="C63" s="23" t="s">
        <v>538</v>
      </c>
      <c r="D63" s="222">
        <f>SUMIF(CCTSAS[Carrière],ETPRECAP[[#This Row],[Carrière]],CCTSAS[heures annuelles
selon contrat(s)])</f>
        <v>0</v>
      </c>
      <c r="E63" s="223" t="e">
        <f>ETPRECAP[[#This Row],[Heures ETP]]/$D$15</f>
        <v>#DIV/0!</v>
      </c>
      <c r="F63" s="222">
        <f>ETPRECAP[[#This Row],[Heures ETP]]/RTT!$D$7</f>
        <v>0</v>
      </c>
      <c r="G63" s="222">
        <f>COUNTIF(CCTSAS[Carrière],ETPRECAP[[#This Row],[Carrière]])</f>
        <v>0</v>
      </c>
      <c r="H63" s="222">
        <f>IF(ETPRECAP[[#This Row],[Nombre empl.]]=0,0,SUMIF(CCTSAS[Carrière],ETPRECAP[[#This Row],[Carrière]],CCTSAS[Années
(Ancienneté)])/ETPRECAP[[#This Row],[Nombre empl.]])</f>
        <v>0</v>
      </c>
      <c r="I63" s="222">
        <f>SUMIFS(CCTSAS[heures annuelles
selon contrat(s)],CCTSAS[Allocation fonctions],"Encadrement",CCTSAS[Carrière],ETPRECAP[[#This Row],[Carrière]])</f>
        <v>0</v>
      </c>
      <c r="J63" s="223" t="e">
        <f>ETPRECAP[[#This Row],[Heures ETP Encadrement]]/$I$15</f>
        <v>#DIV/0!</v>
      </c>
      <c r="K63" s="222">
        <f>ETPRECAP[[#This Row],[Heures ETP Encadrement]]/RTT!$D$7</f>
        <v>0</v>
      </c>
      <c r="L63" s="23"/>
    </row>
    <row r="64" spans="2:12" x14ac:dyDescent="0.25">
      <c r="B64" s="23" t="s">
        <v>265</v>
      </c>
      <c r="C64" s="23" t="s">
        <v>538</v>
      </c>
      <c r="D64" s="222">
        <f>SUMIF(CCTSAS[Carrière],ETPRECAP[[#This Row],[Carrière]],CCTSAS[heures annuelles
selon contrat(s)])</f>
        <v>0</v>
      </c>
      <c r="E64" s="223" t="e">
        <f>ETPRECAP[[#This Row],[Heures ETP]]/$D$15</f>
        <v>#DIV/0!</v>
      </c>
      <c r="F64" s="222">
        <f>ETPRECAP[[#This Row],[Heures ETP]]/RTT!$D$7</f>
        <v>0</v>
      </c>
      <c r="G64" s="222">
        <f>COUNTIF(CCTSAS[Carrière],ETPRECAP[[#This Row],[Carrière]])</f>
        <v>0</v>
      </c>
      <c r="H64" s="222">
        <f>IF(ETPRECAP[[#This Row],[Nombre empl.]]=0,0,SUMIF(CCTSAS[Carrière],ETPRECAP[[#This Row],[Carrière]],CCTSAS[Années
(Ancienneté)])/ETPRECAP[[#This Row],[Nombre empl.]])</f>
        <v>0</v>
      </c>
      <c r="I64" s="222">
        <f>SUMIFS(CCTSAS[heures annuelles
selon contrat(s)],CCTSAS[Allocation fonctions],"Encadrement",CCTSAS[Carrière],ETPRECAP[[#This Row],[Carrière]])</f>
        <v>0</v>
      </c>
      <c r="J64" s="223" t="e">
        <f>ETPRECAP[[#This Row],[Heures ETP Encadrement]]/$I$15</f>
        <v>#DIV/0!</v>
      </c>
      <c r="K64" s="222">
        <f>ETPRECAP[[#This Row],[Heures ETP Encadrement]]/RTT!$D$7</f>
        <v>0</v>
      </c>
      <c r="L64" s="23"/>
    </row>
    <row r="65" spans="2:12" x14ac:dyDescent="0.25">
      <c r="B65" s="23" t="s">
        <v>266</v>
      </c>
      <c r="C65" s="23" t="s">
        <v>538</v>
      </c>
      <c r="D65" s="222">
        <f>SUMIF(CCTSAS[Carrière],ETPRECAP[[#This Row],[Carrière]],CCTSAS[heures annuelles
selon contrat(s)])</f>
        <v>0</v>
      </c>
      <c r="E65" s="223" t="e">
        <f>ETPRECAP[[#This Row],[Heures ETP]]/$D$15</f>
        <v>#DIV/0!</v>
      </c>
      <c r="F65" s="222">
        <f>ETPRECAP[[#This Row],[Heures ETP]]/RTT!$D$7</f>
        <v>0</v>
      </c>
      <c r="G65" s="222">
        <f>COUNTIF(CCTSAS[Carrière],ETPRECAP[[#This Row],[Carrière]])</f>
        <v>0</v>
      </c>
      <c r="H65" s="222">
        <f>IF(ETPRECAP[[#This Row],[Nombre empl.]]=0,0,SUMIF(CCTSAS[Carrière],ETPRECAP[[#This Row],[Carrière]],CCTSAS[Années
(Ancienneté)])/ETPRECAP[[#This Row],[Nombre empl.]])</f>
        <v>0</v>
      </c>
      <c r="I65" s="222">
        <f>SUMIFS(CCTSAS[heures annuelles
selon contrat(s)],CCTSAS[Allocation fonctions],"Encadrement",CCTSAS[Carrière],ETPRECAP[[#This Row],[Carrière]])</f>
        <v>0</v>
      </c>
      <c r="J65" s="223" t="e">
        <f>ETPRECAP[[#This Row],[Heures ETP Encadrement]]/$I$15</f>
        <v>#DIV/0!</v>
      </c>
      <c r="K65" s="222">
        <f>ETPRECAP[[#This Row],[Heures ETP Encadrement]]/RTT!$D$7</f>
        <v>0</v>
      </c>
      <c r="L65" s="23"/>
    </row>
    <row r="66" spans="2:12" x14ac:dyDescent="0.25">
      <c r="B66" s="23" t="s">
        <v>267</v>
      </c>
      <c r="C66" s="23" t="s">
        <v>538</v>
      </c>
      <c r="D66" s="222">
        <f>SUMIF(CCTSAS[Carrière],ETPRECAP[[#This Row],[Carrière]],CCTSAS[heures annuelles
selon contrat(s)])</f>
        <v>0</v>
      </c>
      <c r="E66" s="223" t="e">
        <f>ETPRECAP[[#This Row],[Heures ETP]]/$D$15</f>
        <v>#DIV/0!</v>
      </c>
      <c r="F66" s="222">
        <f>ETPRECAP[[#This Row],[Heures ETP]]/RTT!$D$7</f>
        <v>0</v>
      </c>
      <c r="G66" s="222">
        <f>COUNTIF(CCTSAS[Carrière],ETPRECAP[[#This Row],[Carrière]])</f>
        <v>0</v>
      </c>
      <c r="H66" s="222">
        <f>IF(ETPRECAP[[#This Row],[Nombre empl.]]=0,0,SUMIF(CCTSAS[Carrière],ETPRECAP[[#This Row],[Carrière]],CCTSAS[Années
(Ancienneté)])/ETPRECAP[[#This Row],[Nombre empl.]])</f>
        <v>0</v>
      </c>
      <c r="I66" s="222">
        <f>SUMIFS(CCTSAS[heures annuelles
selon contrat(s)],CCTSAS[Allocation fonctions],"Encadrement",CCTSAS[Carrière],ETPRECAP[[#This Row],[Carrière]])</f>
        <v>0</v>
      </c>
      <c r="J66" s="223" t="e">
        <f>ETPRECAP[[#This Row],[Heures ETP Encadrement]]/$I$15</f>
        <v>#DIV/0!</v>
      </c>
      <c r="K66" s="222">
        <f>ETPRECAP[[#This Row],[Heures ETP Encadrement]]/RTT!$D$7</f>
        <v>0</v>
      </c>
      <c r="L66" s="23"/>
    </row>
    <row r="67" spans="2:12" x14ac:dyDescent="0.25">
      <c r="B67" s="23" t="s">
        <v>268</v>
      </c>
      <c r="C67" s="23" t="s">
        <v>538</v>
      </c>
      <c r="D67" s="222">
        <f>SUMIF(CCTSAS[Carrière],ETPRECAP[[#This Row],[Carrière]],CCTSAS[heures annuelles
selon contrat(s)])</f>
        <v>0</v>
      </c>
      <c r="E67" s="223" t="e">
        <f>ETPRECAP[[#This Row],[Heures ETP]]/$D$15</f>
        <v>#DIV/0!</v>
      </c>
      <c r="F67" s="222">
        <f>ETPRECAP[[#This Row],[Heures ETP]]/RTT!$D$7</f>
        <v>0</v>
      </c>
      <c r="G67" s="222">
        <f>COUNTIF(CCTSAS[Carrière],ETPRECAP[[#This Row],[Carrière]])</f>
        <v>0</v>
      </c>
      <c r="H67" s="222">
        <f>IF(ETPRECAP[[#This Row],[Nombre empl.]]=0,0,SUMIF(CCTSAS[Carrière],ETPRECAP[[#This Row],[Carrière]],CCTSAS[Années
(Ancienneté)])/ETPRECAP[[#This Row],[Nombre empl.]])</f>
        <v>0</v>
      </c>
      <c r="I67" s="222">
        <f>SUMIFS(CCTSAS[heures annuelles
selon contrat(s)],CCTSAS[Allocation fonctions],"Encadrement",CCTSAS[Carrière],ETPRECAP[[#This Row],[Carrière]])</f>
        <v>0</v>
      </c>
      <c r="J67" s="223" t="e">
        <f>ETPRECAP[[#This Row],[Heures ETP Encadrement]]/$I$15</f>
        <v>#DIV/0!</v>
      </c>
      <c r="K67" s="222">
        <f>ETPRECAP[[#This Row],[Heures ETP Encadrement]]/RTT!$D$7</f>
        <v>0</v>
      </c>
      <c r="L67" s="23"/>
    </row>
    <row r="68" spans="2:12" x14ac:dyDescent="0.25">
      <c r="B68" s="23" t="s">
        <v>269</v>
      </c>
      <c r="C68" s="23" t="s">
        <v>538</v>
      </c>
      <c r="D68" s="222">
        <f>SUMIF(CCTSAS[Carrière],ETPRECAP[[#This Row],[Carrière]],CCTSAS[heures annuelles
selon contrat(s)])</f>
        <v>0</v>
      </c>
      <c r="E68" s="223" t="e">
        <f>ETPRECAP[[#This Row],[Heures ETP]]/$D$15</f>
        <v>#DIV/0!</v>
      </c>
      <c r="F68" s="222">
        <f>ETPRECAP[[#This Row],[Heures ETP]]/RTT!$D$7</f>
        <v>0</v>
      </c>
      <c r="G68" s="222">
        <f>COUNTIF(CCTSAS[Carrière],ETPRECAP[[#This Row],[Carrière]])</f>
        <v>0</v>
      </c>
      <c r="H68" s="222">
        <f>IF(ETPRECAP[[#This Row],[Nombre empl.]]=0,0,SUMIF(CCTSAS[Carrière],ETPRECAP[[#This Row],[Carrière]],CCTSAS[Années
(Ancienneté)])/ETPRECAP[[#This Row],[Nombre empl.]])</f>
        <v>0</v>
      </c>
      <c r="I68" s="222">
        <f>SUMIFS(CCTSAS[heures annuelles
selon contrat(s)],CCTSAS[Allocation fonctions],"Encadrement",CCTSAS[Carrière],ETPRECAP[[#This Row],[Carrière]])</f>
        <v>0</v>
      </c>
      <c r="J68" s="223" t="e">
        <f>ETPRECAP[[#This Row],[Heures ETP Encadrement]]/$I$15</f>
        <v>#DIV/0!</v>
      </c>
      <c r="K68" s="222">
        <f>ETPRECAP[[#This Row],[Heures ETP Encadrement]]/RTT!$D$7</f>
        <v>0</v>
      </c>
      <c r="L68" s="23"/>
    </row>
    <row r="69" spans="2:12" x14ac:dyDescent="0.25">
      <c r="B69" s="23" t="s">
        <v>270</v>
      </c>
      <c r="C69" s="23" t="s">
        <v>538</v>
      </c>
      <c r="D69" s="222">
        <f>SUMIF(CCTSAS[Carrière],ETPRECAP[[#This Row],[Carrière]],CCTSAS[heures annuelles
selon contrat(s)])</f>
        <v>0</v>
      </c>
      <c r="E69" s="223" t="e">
        <f>ETPRECAP[[#This Row],[Heures ETP]]/$D$15</f>
        <v>#DIV/0!</v>
      </c>
      <c r="F69" s="222">
        <f>ETPRECAP[[#This Row],[Heures ETP]]/RTT!$D$7</f>
        <v>0</v>
      </c>
      <c r="G69" s="222">
        <f>COUNTIF(CCTSAS[Carrière],ETPRECAP[[#This Row],[Carrière]])</f>
        <v>0</v>
      </c>
      <c r="H69" s="222">
        <f>IF(ETPRECAP[[#This Row],[Nombre empl.]]=0,0,SUMIF(CCTSAS[Carrière],ETPRECAP[[#This Row],[Carrière]],CCTSAS[Années
(Ancienneté)])/ETPRECAP[[#This Row],[Nombre empl.]])</f>
        <v>0</v>
      </c>
      <c r="I69" s="222">
        <f>SUMIFS(CCTSAS[heures annuelles
selon contrat(s)],CCTSAS[Allocation fonctions],"Encadrement",CCTSAS[Carrière],ETPRECAP[[#This Row],[Carrière]])</f>
        <v>0</v>
      </c>
      <c r="J69" s="223" t="e">
        <f>ETPRECAP[[#This Row],[Heures ETP Encadrement]]/$I$15</f>
        <v>#DIV/0!</v>
      </c>
      <c r="K69" s="222">
        <f>ETPRECAP[[#This Row],[Heures ETP Encadrement]]/RTT!$D$7</f>
        <v>0</v>
      </c>
      <c r="L69" s="23"/>
    </row>
    <row r="70" spans="2:12" x14ac:dyDescent="0.25">
      <c r="B70" s="23" t="s">
        <v>271</v>
      </c>
      <c r="C70" s="23" t="s">
        <v>538</v>
      </c>
      <c r="D70" s="222">
        <f>SUMIF(CCTSAS[Carrière],ETPRECAP[[#This Row],[Carrière]],CCTSAS[heures annuelles
selon contrat(s)])</f>
        <v>0</v>
      </c>
      <c r="E70" s="223" t="e">
        <f>ETPRECAP[[#This Row],[Heures ETP]]/$D$15</f>
        <v>#DIV/0!</v>
      </c>
      <c r="F70" s="222">
        <f>ETPRECAP[[#This Row],[Heures ETP]]/RTT!$D$7</f>
        <v>0</v>
      </c>
      <c r="G70" s="222">
        <f>COUNTIF(CCTSAS[Carrière],ETPRECAP[[#This Row],[Carrière]])</f>
        <v>0</v>
      </c>
      <c r="H70" s="222">
        <f>IF(ETPRECAP[[#This Row],[Nombre empl.]]=0,0,SUMIF(CCTSAS[Carrière],ETPRECAP[[#This Row],[Carrière]],CCTSAS[Années
(Ancienneté)])/ETPRECAP[[#This Row],[Nombre empl.]])</f>
        <v>0</v>
      </c>
      <c r="I70" s="222">
        <f>SUMIFS(CCTSAS[heures annuelles
selon contrat(s)],CCTSAS[Allocation fonctions],"Encadrement",CCTSAS[Carrière],ETPRECAP[[#This Row],[Carrière]])</f>
        <v>0</v>
      </c>
      <c r="J70" s="223" t="e">
        <f>ETPRECAP[[#This Row],[Heures ETP Encadrement]]/$I$15</f>
        <v>#DIV/0!</v>
      </c>
      <c r="K70" s="222">
        <f>ETPRECAP[[#This Row],[Heures ETP Encadrement]]/RTT!$D$7</f>
        <v>0</v>
      </c>
      <c r="L70" s="23"/>
    </row>
    <row r="71" spans="2:12" x14ac:dyDescent="0.25">
      <c r="B71" s="23" t="s">
        <v>272</v>
      </c>
      <c r="C71" s="23" t="s">
        <v>538</v>
      </c>
      <c r="D71" s="222">
        <f>SUMIF(CCTSAS[Carrière],ETPRECAP[[#This Row],[Carrière]],CCTSAS[heures annuelles
selon contrat(s)])</f>
        <v>0</v>
      </c>
      <c r="E71" s="223" t="e">
        <f>ETPRECAP[[#This Row],[Heures ETP]]/$D$15</f>
        <v>#DIV/0!</v>
      </c>
      <c r="F71" s="222">
        <f>ETPRECAP[[#This Row],[Heures ETP]]/RTT!$D$7</f>
        <v>0</v>
      </c>
      <c r="G71" s="222">
        <f>COUNTIF(CCTSAS[Carrière],ETPRECAP[[#This Row],[Carrière]])</f>
        <v>0</v>
      </c>
      <c r="H71" s="222">
        <f>IF(ETPRECAP[[#This Row],[Nombre empl.]]=0,0,SUMIF(CCTSAS[Carrière],ETPRECAP[[#This Row],[Carrière]],CCTSAS[Années
(Ancienneté)])/ETPRECAP[[#This Row],[Nombre empl.]])</f>
        <v>0</v>
      </c>
      <c r="I71" s="222">
        <f>SUMIFS(CCTSAS[heures annuelles
selon contrat(s)],CCTSAS[Allocation fonctions],"Encadrement",CCTSAS[Carrière],ETPRECAP[[#This Row],[Carrière]])</f>
        <v>0</v>
      </c>
      <c r="J71" s="223" t="e">
        <f>ETPRECAP[[#This Row],[Heures ETP Encadrement]]/$I$15</f>
        <v>#DIV/0!</v>
      </c>
      <c r="K71" s="222">
        <f>ETPRECAP[[#This Row],[Heures ETP Encadrement]]/RTT!$D$7</f>
        <v>0</v>
      </c>
      <c r="L71" s="23"/>
    </row>
    <row r="72" spans="2:12" x14ac:dyDescent="0.25">
      <c r="B72" s="23" t="s">
        <v>273</v>
      </c>
      <c r="C72" s="23" t="s">
        <v>538</v>
      </c>
      <c r="D72" s="222">
        <f>SUMIF(CCTSAS[Carrière],ETPRECAP[[#This Row],[Carrière]],CCTSAS[heures annuelles
selon contrat(s)])</f>
        <v>0</v>
      </c>
      <c r="E72" s="223" t="e">
        <f>ETPRECAP[[#This Row],[Heures ETP]]/$D$15</f>
        <v>#DIV/0!</v>
      </c>
      <c r="F72" s="222">
        <f>ETPRECAP[[#This Row],[Heures ETP]]/RTT!$D$7</f>
        <v>0</v>
      </c>
      <c r="G72" s="222">
        <f>COUNTIF(CCTSAS[Carrière],ETPRECAP[[#This Row],[Carrière]])</f>
        <v>0</v>
      </c>
      <c r="H72" s="222">
        <f>IF(ETPRECAP[[#This Row],[Nombre empl.]]=0,0,SUMIF(CCTSAS[Carrière],ETPRECAP[[#This Row],[Carrière]],CCTSAS[Années
(Ancienneté)])/ETPRECAP[[#This Row],[Nombre empl.]])</f>
        <v>0</v>
      </c>
      <c r="I72" s="222">
        <f>SUMIFS(CCTSAS[heures annuelles
selon contrat(s)],CCTSAS[Allocation fonctions],"Encadrement",CCTSAS[Carrière],ETPRECAP[[#This Row],[Carrière]])</f>
        <v>0</v>
      </c>
      <c r="J72" s="223" t="e">
        <f>ETPRECAP[[#This Row],[Heures ETP Encadrement]]/$I$15</f>
        <v>#DIV/0!</v>
      </c>
      <c r="K72" s="222">
        <f>ETPRECAP[[#This Row],[Heures ETP Encadrement]]/RTT!$D$7</f>
        <v>0</v>
      </c>
      <c r="L72" s="23"/>
    </row>
    <row r="73" spans="2:12" x14ac:dyDescent="0.25">
      <c r="B73" s="23" t="s">
        <v>274</v>
      </c>
      <c r="C73" s="23" t="s">
        <v>538</v>
      </c>
      <c r="D73" s="222">
        <f>SUMIF(CCTSAS[Carrière],ETPRECAP[[#This Row],[Carrière]],CCTSAS[heures annuelles
selon contrat(s)])</f>
        <v>0</v>
      </c>
      <c r="E73" s="223" t="e">
        <f>ETPRECAP[[#This Row],[Heures ETP]]/$D$15</f>
        <v>#DIV/0!</v>
      </c>
      <c r="F73" s="222">
        <f>ETPRECAP[[#This Row],[Heures ETP]]/RTT!$D$7</f>
        <v>0</v>
      </c>
      <c r="G73" s="222">
        <f>COUNTIF(CCTSAS[Carrière],ETPRECAP[[#This Row],[Carrière]])</f>
        <v>0</v>
      </c>
      <c r="H73" s="222">
        <f>IF(ETPRECAP[[#This Row],[Nombre empl.]]=0,0,SUMIF(CCTSAS[Carrière],ETPRECAP[[#This Row],[Carrière]],CCTSAS[Années
(Ancienneté)])/ETPRECAP[[#This Row],[Nombre empl.]])</f>
        <v>0</v>
      </c>
      <c r="I73" s="222">
        <f>SUMIFS(CCTSAS[heures annuelles
selon contrat(s)],CCTSAS[Allocation fonctions],"Encadrement",CCTSAS[Carrière],ETPRECAP[[#This Row],[Carrière]])</f>
        <v>0</v>
      </c>
      <c r="J73" s="223" t="e">
        <f>ETPRECAP[[#This Row],[Heures ETP Encadrement]]/$I$15</f>
        <v>#DIV/0!</v>
      </c>
      <c r="K73" s="222">
        <f>ETPRECAP[[#This Row],[Heures ETP Encadrement]]/RTT!$D$7</f>
        <v>0</v>
      </c>
      <c r="L73" s="23"/>
    </row>
    <row r="74" spans="2:12" x14ac:dyDescent="0.25">
      <c r="B74" s="23" t="s">
        <v>275</v>
      </c>
      <c r="C74" s="23" t="s">
        <v>538</v>
      </c>
      <c r="D74" s="222">
        <f>SUMIF(CCTSAS[Carrière],ETPRECAP[[#This Row],[Carrière]],CCTSAS[heures annuelles
selon contrat(s)])</f>
        <v>0</v>
      </c>
      <c r="E74" s="223" t="e">
        <f>ETPRECAP[[#This Row],[Heures ETP]]/$D$15</f>
        <v>#DIV/0!</v>
      </c>
      <c r="F74" s="222">
        <f>ETPRECAP[[#This Row],[Heures ETP]]/RTT!$D$7</f>
        <v>0</v>
      </c>
      <c r="G74" s="222">
        <f>COUNTIF(CCTSAS[Carrière],ETPRECAP[[#This Row],[Carrière]])</f>
        <v>0</v>
      </c>
      <c r="H74" s="222">
        <f>IF(ETPRECAP[[#This Row],[Nombre empl.]]=0,0,SUMIF(CCTSAS[Carrière],ETPRECAP[[#This Row],[Carrière]],CCTSAS[Années
(Ancienneté)])/ETPRECAP[[#This Row],[Nombre empl.]])</f>
        <v>0</v>
      </c>
      <c r="I74" s="222">
        <f>SUMIFS(CCTSAS[heures annuelles
selon contrat(s)],CCTSAS[Allocation fonctions],"Encadrement",CCTSAS[Carrière],ETPRECAP[[#This Row],[Carrière]])</f>
        <v>0</v>
      </c>
      <c r="J74" s="223" t="e">
        <f>ETPRECAP[[#This Row],[Heures ETP Encadrement]]/$I$15</f>
        <v>#DIV/0!</v>
      </c>
      <c r="K74" s="222">
        <f>ETPRECAP[[#This Row],[Heures ETP Encadrement]]/RTT!$D$7</f>
        <v>0</v>
      </c>
      <c r="L74" s="23"/>
    </row>
    <row r="75" spans="2:12" x14ac:dyDescent="0.25">
      <c r="B75" s="23" t="s">
        <v>276</v>
      </c>
      <c r="C75" s="23" t="s">
        <v>538</v>
      </c>
      <c r="D75" s="222">
        <f>SUMIF(CCTSAS[Carrière],ETPRECAP[[#This Row],[Carrière]],CCTSAS[heures annuelles
selon contrat(s)])</f>
        <v>0</v>
      </c>
      <c r="E75" s="223" t="e">
        <f>ETPRECAP[[#This Row],[Heures ETP]]/$D$15</f>
        <v>#DIV/0!</v>
      </c>
      <c r="F75" s="222">
        <f>ETPRECAP[[#This Row],[Heures ETP]]/RTT!$D$7</f>
        <v>0</v>
      </c>
      <c r="G75" s="222">
        <f>COUNTIF(CCTSAS[Carrière],ETPRECAP[[#This Row],[Carrière]])</f>
        <v>0</v>
      </c>
      <c r="H75" s="222">
        <f>IF(ETPRECAP[[#This Row],[Nombre empl.]]=0,0,SUMIF(CCTSAS[Carrière],ETPRECAP[[#This Row],[Carrière]],CCTSAS[Années
(Ancienneté)])/ETPRECAP[[#This Row],[Nombre empl.]])</f>
        <v>0</v>
      </c>
      <c r="I75" s="222">
        <f>SUMIFS(CCTSAS[heures annuelles
selon contrat(s)],CCTSAS[Allocation fonctions],"Encadrement",CCTSAS[Carrière],ETPRECAP[[#This Row],[Carrière]])</f>
        <v>0</v>
      </c>
      <c r="J75" s="223" t="e">
        <f>ETPRECAP[[#This Row],[Heures ETP Encadrement]]/$I$15</f>
        <v>#DIV/0!</v>
      </c>
      <c r="K75" s="222">
        <f>ETPRECAP[[#This Row],[Heures ETP Encadrement]]/RTT!$D$7</f>
        <v>0</v>
      </c>
      <c r="L75" s="23"/>
    </row>
    <row r="76" spans="2:12" x14ac:dyDescent="0.25">
      <c r="B76" s="23" t="s">
        <v>277</v>
      </c>
      <c r="C76" s="23" t="s">
        <v>538</v>
      </c>
      <c r="D76" s="222">
        <f>SUMIF(CCTSAS[Carrière],ETPRECAP[[#This Row],[Carrière]],CCTSAS[heures annuelles
selon contrat(s)])</f>
        <v>0</v>
      </c>
      <c r="E76" s="223" t="e">
        <f>ETPRECAP[[#This Row],[Heures ETP]]/$D$15</f>
        <v>#DIV/0!</v>
      </c>
      <c r="F76" s="222">
        <f>ETPRECAP[[#This Row],[Heures ETP]]/RTT!$D$7</f>
        <v>0</v>
      </c>
      <c r="G76" s="222">
        <f>COUNTIF(CCTSAS[Carrière],ETPRECAP[[#This Row],[Carrière]])</f>
        <v>0</v>
      </c>
      <c r="H76" s="222">
        <f>IF(ETPRECAP[[#This Row],[Nombre empl.]]=0,0,SUMIF(CCTSAS[Carrière],ETPRECAP[[#This Row],[Carrière]],CCTSAS[Années
(Ancienneté)])/ETPRECAP[[#This Row],[Nombre empl.]])</f>
        <v>0</v>
      </c>
      <c r="I76" s="222">
        <f>SUMIFS(CCTSAS[heures annuelles
selon contrat(s)],CCTSAS[Allocation fonctions],"Encadrement",CCTSAS[Carrière],ETPRECAP[[#This Row],[Carrière]])</f>
        <v>0</v>
      </c>
      <c r="J76" s="223" t="e">
        <f>ETPRECAP[[#This Row],[Heures ETP Encadrement]]/$I$15</f>
        <v>#DIV/0!</v>
      </c>
      <c r="K76" s="222">
        <f>ETPRECAP[[#This Row],[Heures ETP Encadrement]]/RTT!$D$7</f>
        <v>0</v>
      </c>
      <c r="L76" s="23"/>
    </row>
    <row r="77" spans="2:12" x14ac:dyDescent="0.25">
      <c r="B77" s="23" t="s">
        <v>278</v>
      </c>
      <c r="C77" s="23" t="s">
        <v>538</v>
      </c>
      <c r="D77" s="222">
        <f>SUMIF(CCTSAS[Carrière],ETPRECAP[[#This Row],[Carrière]],CCTSAS[heures annuelles
selon contrat(s)])</f>
        <v>0</v>
      </c>
      <c r="E77" s="223" t="e">
        <f>ETPRECAP[[#This Row],[Heures ETP]]/$D$15</f>
        <v>#DIV/0!</v>
      </c>
      <c r="F77" s="222">
        <f>ETPRECAP[[#This Row],[Heures ETP]]/RTT!$D$7</f>
        <v>0</v>
      </c>
      <c r="G77" s="222">
        <f>COUNTIF(CCTSAS[Carrière],ETPRECAP[[#This Row],[Carrière]])</f>
        <v>0</v>
      </c>
      <c r="H77" s="222">
        <f>IF(ETPRECAP[[#This Row],[Nombre empl.]]=0,0,SUMIF(CCTSAS[Carrière],ETPRECAP[[#This Row],[Carrière]],CCTSAS[Années
(Ancienneté)])/ETPRECAP[[#This Row],[Nombre empl.]])</f>
        <v>0</v>
      </c>
      <c r="I77" s="222">
        <f>SUMIFS(CCTSAS[heures annuelles
selon contrat(s)],CCTSAS[Allocation fonctions],"Encadrement",CCTSAS[Carrière],ETPRECAP[[#This Row],[Carrière]])</f>
        <v>0</v>
      </c>
      <c r="J77" s="223" t="e">
        <f>ETPRECAP[[#This Row],[Heures ETP Encadrement]]/$I$15</f>
        <v>#DIV/0!</v>
      </c>
      <c r="K77" s="222">
        <f>ETPRECAP[[#This Row],[Heures ETP Encadrement]]/RTT!$D$7</f>
        <v>0</v>
      </c>
      <c r="L77" s="23"/>
    </row>
    <row r="78" spans="2:12" x14ac:dyDescent="0.25">
      <c r="B78" s="23" t="s">
        <v>279</v>
      </c>
      <c r="C78" s="23" t="s">
        <v>538</v>
      </c>
      <c r="D78" s="222">
        <f>SUMIF(CCTSAS[Carrière],ETPRECAP[[#This Row],[Carrière]],CCTSAS[heures annuelles
selon contrat(s)])</f>
        <v>0</v>
      </c>
      <c r="E78" s="223" t="e">
        <f>ETPRECAP[[#This Row],[Heures ETP]]/$D$15</f>
        <v>#DIV/0!</v>
      </c>
      <c r="F78" s="222">
        <f>ETPRECAP[[#This Row],[Heures ETP]]/RTT!$D$7</f>
        <v>0</v>
      </c>
      <c r="G78" s="222">
        <f>COUNTIF(CCTSAS[Carrière],ETPRECAP[[#This Row],[Carrière]])</f>
        <v>0</v>
      </c>
      <c r="H78" s="222">
        <f>IF(ETPRECAP[[#This Row],[Nombre empl.]]=0,0,SUMIF(CCTSAS[Carrière],ETPRECAP[[#This Row],[Carrière]],CCTSAS[Années
(Ancienneté)])/ETPRECAP[[#This Row],[Nombre empl.]])</f>
        <v>0</v>
      </c>
      <c r="I78" s="222">
        <f>SUMIFS(CCTSAS[heures annuelles
selon contrat(s)],CCTSAS[Allocation fonctions],"Encadrement",CCTSAS[Carrière],ETPRECAP[[#This Row],[Carrière]])</f>
        <v>0</v>
      </c>
      <c r="J78" s="223" t="e">
        <f>ETPRECAP[[#This Row],[Heures ETP Encadrement]]/$I$15</f>
        <v>#DIV/0!</v>
      </c>
      <c r="K78" s="222">
        <f>ETPRECAP[[#This Row],[Heures ETP Encadrement]]/RTT!$D$7</f>
        <v>0</v>
      </c>
      <c r="L78" s="23"/>
    </row>
    <row r="79" spans="2:12" x14ac:dyDescent="0.25">
      <c r="B79" s="23" t="s">
        <v>280</v>
      </c>
      <c r="C79" s="23" t="s">
        <v>538</v>
      </c>
      <c r="D79" s="222">
        <f>SUMIF(CCTSAS[Carrière],ETPRECAP[[#This Row],[Carrière]],CCTSAS[heures annuelles
selon contrat(s)])</f>
        <v>0</v>
      </c>
      <c r="E79" s="223" t="e">
        <f>ETPRECAP[[#This Row],[Heures ETP]]/$D$15</f>
        <v>#DIV/0!</v>
      </c>
      <c r="F79" s="222">
        <f>ETPRECAP[[#This Row],[Heures ETP]]/RTT!$D$7</f>
        <v>0</v>
      </c>
      <c r="G79" s="222">
        <f>COUNTIF(CCTSAS[Carrière],ETPRECAP[[#This Row],[Carrière]])</f>
        <v>0</v>
      </c>
      <c r="H79" s="222">
        <f>IF(ETPRECAP[[#This Row],[Nombre empl.]]=0,0,SUMIF(CCTSAS[Carrière],ETPRECAP[[#This Row],[Carrière]],CCTSAS[Années
(Ancienneté)])/ETPRECAP[[#This Row],[Nombre empl.]])</f>
        <v>0</v>
      </c>
      <c r="I79" s="222">
        <f>SUMIFS(CCTSAS[heures annuelles
selon contrat(s)],CCTSAS[Allocation fonctions],"Encadrement",CCTSAS[Carrière],ETPRECAP[[#This Row],[Carrière]])</f>
        <v>0</v>
      </c>
      <c r="J79" s="223" t="e">
        <f>ETPRECAP[[#This Row],[Heures ETP Encadrement]]/$I$15</f>
        <v>#DIV/0!</v>
      </c>
      <c r="K79" s="222">
        <f>ETPRECAP[[#This Row],[Heures ETP Encadrement]]/RTT!$D$7</f>
        <v>0</v>
      </c>
      <c r="L79" s="23"/>
    </row>
    <row r="80" spans="2:12" x14ac:dyDescent="0.25">
      <c r="B80" s="23" t="s">
        <v>281</v>
      </c>
      <c r="C80" s="23" t="s">
        <v>538</v>
      </c>
      <c r="D80" s="222">
        <f>SUMIF(CCTSAS[Carrière],ETPRECAP[[#This Row],[Carrière]],CCTSAS[heures annuelles
selon contrat(s)])</f>
        <v>0</v>
      </c>
      <c r="E80" s="223" t="e">
        <f>ETPRECAP[[#This Row],[Heures ETP]]/$D$15</f>
        <v>#DIV/0!</v>
      </c>
      <c r="F80" s="222">
        <f>ETPRECAP[[#This Row],[Heures ETP]]/RTT!$D$7</f>
        <v>0</v>
      </c>
      <c r="G80" s="222">
        <f>COUNTIF(CCTSAS[Carrière],ETPRECAP[[#This Row],[Carrière]])</f>
        <v>0</v>
      </c>
      <c r="H80" s="222">
        <f>IF(ETPRECAP[[#This Row],[Nombre empl.]]=0,0,SUMIF(CCTSAS[Carrière],ETPRECAP[[#This Row],[Carrière]],CCTSAS[Années
(Ancienneté)])/ETPRECAP[[#This Row],[Nombre empl.]])</f>
        <v>0</v>
      </c>
      <c r="I80" s="222">
        <f>SUMIFS(CCTSAS[heures annuelles
selon contrat(s)],CCTSAS[Allocation fonctions],"Encadrement",CCTSAS[Carrière],ETPRECAP[[#This Row],[Carrière]])</f>
        <v>0</v>
      </c>
      <c r="J80" s="223" t="e">
        <f>ETPRECAP[[#This Row],[Heures ETP Encadrement]]/$I$15</f>
        <v>#DIV/0!</v>
      </c>
      <c r="K80" s="222">
        <f>ETPRECAP[[#This Row],[Heures ETP Encadrement]]/RTT!$D$7</f>
        <v>0</v>
      </c>
      <c r="L80" s="23"/>
    </row>
    <row r="81" spans="2:12" x14ac:dyDescent="0.25">
      <c r="B81" s="23" t="s">
        <v>282</v>
      </c>
      <c r="C81" s="23" t="s">
        <v>538</v>
      </c>
      <c r="D81" s="222">
        <f>SUMIF(CCTSAS[Carrière],ETPRECAP[[#This Row],[Carrière]],CCTSAS[heures annuelles
selon contrat(s)])</f>
        <v>0</v>
      </c>
      <c r="E81" s="223" t="e">
        <f>ETPRECAP[[#This Row],[Heures ETP]]/$D$15</f>
        <v>#DIV/0!</v>
      </c>
      <c r="F81" s="222">
        <f>ETPRECAP[[#This Row],[Heures ETP]]/RTT!$D$7</f>
        <v>0</v>
      </c>
      <c r="G81" s="222">
        <f>COUNTIF(CCTSAS[Carrière],ETPRECAP[[#This Row],[Carrière]])</f>
        <v>0</v>
      </c>
      <c r="H81" s="222">
        <f>IF(ETPRECAP[[#This Row],[Nombre empl.]]=0,0,SUMIF(CCTSAS[Carrière],ETPRECAP[[#This Row],[Carrière]],CCTSAS[Années
(Ancienneté)])/ETPRECAP[[#This Row],[Nombre empl.]])</f>
        <v>0</v>
      </c>
      <c r="I81" s="222">
        <f>SUMIFS(CCTSAS[heures annuelles
selon contrat(s)],CCTSAS[Allocation fonctions],"Encadrement",CCTSAS[Carrière],ETPRECAP[[#This Row],[Carrière]])</f>
        <v>0</v>
      </c>
      <c r="J81" s="223" t="e">
        <f>ETPRECAP[[#This Row],[Heures ETP Encadrement]]/$I$15</f>
        <v>#DIV/0!</v>
      </c>
      <c r="K81" s="222">
        <f>ETPRECAP[[#This Row],[Heures ETP Encadrement]]/RTT!$D$7</f>
        <v>0</v>
      </c>
      <c r="L81" s="23"/>
    </row>
    <row r="82" spans="2:12" x14ac:dyDescent="0.25">
      <c r="B82" s="23" t="s">
        <v>283</v>
      </c>
      <c r="C82" s="23" t="s">
        <v>538</v>
      </c>
      <c r="D82" s="222">
        <f>SUMIF(CCTSAS[Carrière],ETPRECAP[[#This Row],[Carrière]],CCTSAS[heures annuelles
selon contrat(s)])</f>
        <v>0</v>
      </c>
      <c r="E82" s="223" t="e">
        <f>ETPRECAP[[#This Row],[Heures ETP]]/$D$15</f>
        <v>#DIV/0!</v>
      </c>
      <c r="F82" s="222">
        <f>ETPRECAP[[#This Row],[Heures ETP]]/RTT!$D$7</f>
        <v>0</v>
      </c>
      <c r="G82" s="222">
        <f>COUNTIF(CCTSAS[Carrière],ETPRECAP[[#This Row],[Carrière]])</f>
        <v>0</v>
      </c>
      <c r="H82" s="222">
        <f>IF(ETPRECAP[[#This Row],[Nombre empl.]]=0,0,SUMIF(CCTSAS[Carrière],ETPRECAP[[#This Row],[Carrière]],CCTSAS[Années
(Ancienneté)])/ETPRECAP[[#This Row],[Nombre empl.]])</f>
        <v>0</v>
      </c>
      <c r="I82" s="222">
        <f>SUMIFS(CCTSAS[heures annuelles
selon contrat(s)],CCTSAS[Allocation fonctions],"Encadrement",CCTSAS[Carrière],ETPRECAP[[#This Row],[Carrière]])</f>
        <v>0</v>
      </c>
      <c r="J82" s="223" t="e">
        <f>ETPRECAP[[#This Row],[Heures ETP Encadrement]]/$I$15</f>
        <v>#DIV/0!</v>
      </c>
      <c r="K82" s="222">
        <f>ETPRECAP[[#This Row],[Heures ETP Encadrement]]/RTT!$D$7</f>
        <v>0</v>
      </c>
      <c r="L82" s="23"/>
    </row>
    <row r="83" spans="2:12" x14ac:dyDescent="0.25">
      <c r="B83" s="23" t="s">
        <v>284</v>
      </c>
      <c r="C83" s="23" t="s">
        <v>538</v>
      </c>
      <c r="D83" s="222">
        <f>SUMIF(CCTSAS[Carrière],ETPRECAP[[#This Row],[Carrière]],CCTSAS[heures annuelles
selon contrat(s)])</f>
        <v>0</v>
      </c>
      <c r="E83" s="223" t="e">
        <f>ETPRECAP[[#This Row],[Heures ETP]]/$D$15</f>
        <v>#DIV/0!</v>
      </c>
      <c r="F83" s="222">
        <f>ETPRECAP[[#This Row],[Heures ETP]]/RTT!$D$7</f>
        <v>0</v>
      </c>
      <c r="G83" s="222">
        <f>COUNTIF(CCTSAS[Carrière],ETPRECAP[[#This Row],[Carrière]])</f>
        <v>0</v>
      </c>
      <c r="H83" s="222">
        <f>IF(ETPRECAP[[#This Row],[Nombre empl.]]=0,0,SUMIF(CCTSAS[Carrière],ETPRECAP[[#This Row],[Carrière]],CCTSAS[Années
(Ancienneté)])/ETPRECAP[[#This Row],[Nombre empl.]])</f>
        <v>0</v>
      </c>
      <c r="I83" s="222">
        <f>SUMIFS(CCTSAS[heures annuelles
selon contrat(s)],CCTSAS[Allocation fonctions],"Encadrement",CCTSAS[Carrière],ETPRECAP[[#This Row],[Carrière]])</f>
        <v>0</v>
      </c>
      <c r="J83" s="223" t="e">
        <f>ETPRECAP[[#This Row],[Heures ETP Encadrement]]/$I$15</f>
        <v>#DIV/0!</v>
      </c>
      <c r="K83" s="222">
        <f>ETPRECAP[[#This Row],[Heures ETP Encadrement]]/RTT!$D$7</f>
        <v>0</v>
      </c>
      <c r="L83" s="23"/>
    </row>
    <row r="84" spans="2:12" x14ac:dyDescent="0.25">
      <c r="B84" s="23" t="s">
        <v>285</v>
      </c>
      <c r="C84" s="23" t="s">
        <v>538</v>
      </c>
      <c r="D84" s="222">
        <f>SUMIF(CCTSAS[Carrière],ETPRECAP[[#This Row],[Carrière]],CCTSAS[heures annuelles
selon contrat(s)])</f>
        <v>0</v>
      </c>
      <c r="E84" s="223" t="e">
        <f>ETPRECAP[[#This Row],[Heures ETP]]/$D$15</f>
        <v>#DIV/0!</v>
      </c>
      <c r="F84" s="222">
        <f>ETPRECAP[[#This Row],[Heures ETP]]/RTT!$D$7</f>
        <v>0</v>
      </c>
      <c r="G84" s="222">
        <f>COUNTIF(CCTSAS[Carrière],ETPRECAP[[#This Row],[Carrière]])</f>
        <v>0</v>
      </c>
      <c r="H84" s="222">
        <f>IF(ETPRECAP[[#This Row],[Nombre empl.]]=0,0,SUMIF(CCTSAS[Carrière],ETPRECAP[[#This Row],[Carrière]],CCTSAS[Années
(Ancienneté)])/ETPRECAP[[#This Row],[Nombre empl.]])</f>
        <v>0</v>
      </c>
      <c r="I84" s="222">
        <f>SUMIFS(CCTSAS[heures annuelles
selon contrat(s)],CCTSAS[Allocation fonctions],"Encadrement",CCTSAS[Carrière],ETPRECAP[[#This Row],[Carrière]])</f>
        <v>0</v>
      </c>
      <c r="J84" s="223" t="e">
        <f>ETPRECAP[[#This Row],[Heures ETP Encadrement]]/$I$15</f>
        <v>#DIV/0!</v>
      </c>
      <c r="K84" s="222">
        <f>ETPRECAP[[#This Row],[Heures ETP Encadrement]]/RTT!$D$7</f>
        <v>0</v>
      </c>
      <c r="L84" s="23"/>
    </row>
    <row r="85" spans="2:12" x14ac:dyDescent="0.25">
      <c r="B85" s="23" t="s">
        <v>286</v>
      </c>
      <c r="C85" s="23" t="s">
        <v>538</v>
      </c>
      <c r="D85" s="222">
        <f>SUMIF(CCTSAS[Carrière],ETPRECAP[[#This Row],[Carrière]],CCTSAS[heures annuelles
selon contrat(s)])</f>
        <v>0</v>
      </c>
      <c r="E85" s="223" t="e">
        <f>ETPRECAP[[#This Row],[Heures ETP]]/$D$15</f>
        <v>#DIV/0!</v>
      </c>
      <c r="F85" s="222">
        <f>ETPRECAP[[#This Row],[Heures ETP]]/RTT!$D$7</f>
        <v>0</v>
      </c>
      <c r="G85" s="222">
        <f>COUNTIF(CCTSAS[Carrière],ETPRECAP[[#This Row],[Carrière]])</f>
        <v>0</v>
      </c>
      <c r="H85" s="222">
        <f>IF(ETPRECAP[[#This Row],[Nombre empl.]]=0,0,SUMIF(CCTSAS[Carrière],ETPRECAP[[#This Row],[Carrière]],CCTSAS[Années
(Ancienneté)])/ETPRECAP[[#This Row],[Nombre empl.]])</f>
        <v>0</v>
      </c>
      <c r="I85" s="222">
        <f>SUMIFS(CCTSAS[heures annuelles
selon contrat(s)],CCTSAS[Allocation fonctions],"Encadrement",CCTSAS[Carrière],ETPRECAP[[#This Row],[Carrière]])</f>
        <v>0</v>
      </c>
      <c r="J85" s="223" t="e">
        <f>ETPRECAP[[#This Row],[Heures ETP Encadrement]]/$I$15</f>
        <v>#DIV/0!</v>
      </c>
      <c r="K85" s="222">
        <f>ETPRECAP[[#This Row],[Heures ETP Encadrement]]/RTT!$D$7</f>
        <v>0</v>
      </c>
      <c r="L85" s="23"/>
    </row>
    <row r="86" spans="2:12" x14ac:dyDescent="0.25">
      <c r="B86" s="23" t="s">
        <v>287</v>
      </c>
      <c r="C86" s="23" t="s">
        <v>538</v>
      </c>
      <c r="D86" s="222">
        <f>SUMIF(CCTSAS[Carrière],ETPRECAP[[#This Row],[Carrière]],CCTSAS[heures annuelles
selon contrat(s)])</f>
        <v>0</v>
      </c>
      <c r="E86" s="223" t="e">
        <f>ETPRECAP[[#This Row],[Heures ETP]]/$D$15</f>
        <v>#DIV/0!</v>
      </c>
      <c r="F86" s="222">
        <f>ETPRECAP[[#This Row],[Heures ETP]]/RTT!$D$7</f>
        <v>0</v>
      </c>
      <c r="G86" s="222">
        <f>COUNTIF(CCTSAS[Carrière],ETPRECAP[[#This Row],[Carrière]])</f>
        <v>0</v>
      </c>
      <c r="H86" s="222">
        <f>IF(ETPRECAP[[#This Row],[Nombre empl.]]=0,0,SUMIF(CCTSAS[Carrière],ETPRECAP[[#This Row],[Carrière]],CCTSAS[Années
(Ancienneté)])/ETPRECAP[[#This Row],[Nombre empl.]])</f>
        <v>0</v>
      </c>
      <c r="I86" s="222">
        <f>SUMIFS(CCTSAS[heures annuelles
selon contrat(s)],CCTSAS[Allocation fonctions],"Encadrement",CCTSAS[Carrière],ETPRECAP[[#This Row],[Carrière]])</f>
        <v>0</v>
      </c>
      <c r="J86" s="223" t="e">
        <f>ETPRECAP[[#This Row],[Heures ETP Encadrement]]/$I$15</f>
        <v>#DIV/0!</v>
      </c>
      <c r="K86" s="222">
        <f>ETPRECAP[[#This Row],[Heures ETP Encadrement]]/RTT!$D$7</f>
        <v>0</v>
      </c>
      <c r="L86" s="23"/>
    </row>
    <row r="87" spans="2:12" x14ac:dyDescent="0.25">
      <c r="B87" s="23" t="s">
        <v>288</v>
      </c>
      <c r="C87" s="23" t="s">
        <v>538</v>
      </c>
      <c r="D87" s="222">
        <f>SUMIF(CCTSAS[Carrière],ETPRECAP[[#This Row],[Carrière]],CCTSAS[heures annuelles
selon contrat(s)])</f>
        <v>0</v>
      </c>
      <c r="E87" s="223" t="e">
        <f>ETPRECAP[[#This Row],[Heures ETP]]/$D$15</f>
        <v>#DIV/0!</v>
      </c>
      <c r="F87" s="222">
        <f>ETPRECAP[[#This Row],[Heures ETP]]/RTT!$D$7</f>
        <v>0</v>
      </c>
      <c r="G87" s="222">
        <f>COUNTIF(CCTSAS[Carrière],ETPRECAP[[#This Row],[Carrière]])</f>
        <v>0</v>
      </c>
      <c r="H87" s="222">
        <f>IF(ETPRECAP[[#This Row],[Nombre empl.]]=0,0,SUMIF(CCTSAS[Carrière],ETPRECAP[[#This Row],[Carrière]],CCTSAS[Années
(Ancienneté)])/ETPRECAP[[#This Row],[Nombre empl.]])</f>
        <v>0</v>
      </c>
      <c r="I87" s="222">
        <f>SUMIFS(CCTSAS[heures annuelles
selon contrat(s)],CCTSAS[Allocation fonctions],"Encadrement",CCTSAS[Carrière],ETPRECAP[[#This Row],[Carrière]])</f>
        <v>0</v>
      </c>
      <c r="J87" s="223" t="e">
        <f>ETPRECAP[[#This Row],[Heures ETP Encadrement]]/$I$15</f>
        <v>#DIV/0!</v>
      </c>
      <c r="K87" s="222">
        <f>ETPRECAP[[#This Row],[Heures ETP Encadrement]]/RTT!$D$7</f>
        <v>0</v>
      </c>
      <c r="L87" s="23"/>
    </row>
    <row r="88" spans="2:12" x14ac:dyDescent="0.25">
      <c r="B88" s="23" t="s">
        <v>289</v>
      </c>
      <c r="C88" s="23" t="s">
        <v>538</v>
      </c>
      <c r="D88" s="222">
        <f>SUMIF(CCTSAS[Carrière],ETPRECAP[[#This Row],[Carrière]],CCTSAS[heures annuelles
selon contrat(s)])</f>
        <v>0</v>
      </c>
      <c r="E88" s="223" t="e">
        <f>ETPRECAP[[#This Row],[Heures ETP]]/$D$15</f>
        <v>#DIV/0!</v>
      </c>
      <c r="F88" s="222">
        <f>ETPRECAP[[#This Row],[Heures ETP]]/RTT!$D$7</f>
        <v>0</v>
      </c>
      <c r="G88" s="222">
        <f>COUNTIF(CCTSAS[Carrière],ETPRECAP[[#This Row],[Carrière]])</f>
        <v>0</v>
      </c>
      <c r="H88" s="222">
        <f>IF(ETPRECAP[[#This Row],[Nombre empl.]]=0,0,SUMIF(CCTSAS[Carrière],ETPRECAP[[#This Row],[Carrière]],CCTSAS[Années
(Ancienneté)])/ETPRECAP[[#This Row],[Nombre empl.]])</f>
        <v>0</v>
      </c>
      <c r="I88" s="222">
        <f>SUMIFS(CCTSAS[heures annuelles
selon contrat(s)],CCTSAS[Allocation fonctions],"Encadrement",CCTSAS[Carrière],ETPRECAP[[#This Row],[Carrière]])</f>
        <v>0</v>
      </c>
      <c r="J88" s="223" t="e">
        <f>ETPRECAP[[#This Row],[Heures ETP Encadrement]]/$I$15</f>
        <v>#DIV/0!</v>
      </c>
      <c r="K88" s="222">
        <f>ETPRECAP[[#This Row],[Heures ETP Encadrement]]/RTT!$D$7</f>
        <v>0</v>
      </c>
      <c r="L88" s="23"/>
    </row>
    <row r="89" spans="2:12" x14ac:dyDescent="0.25">
      <c r="B89" s="23" t="s">
        <v>290</v>
      </c>
      <c r="C89" s="23" t="s">
        <v>538</v>
      </c>
      <c r="D89" s="222">
        <f>SUMIF(CCTSAS[Carrière],ETPRECAP[[#This Row],[Carrière]],CCTSAS[heures annuelles
selon contrat(s)])</f>
        <v>0</v>
      </c>
      <c r="E89" s="223" t="e">
        <f>ETPRECAP[[#This Row],[Heures ETP]]/$D$15</f>
        <v>#DIV/0!</v>
      </c>
      <c r="F89" s="222">
        <f>ETPRECAP[[#This Row],[Heures ETP]]/RTT!$D$7</f>
        <v>0</v>
      </c>
      <c r="G89" s="222">
        <f>COUNTIF(CCTSAS[Carrière],ETPRECAP[[#This Row],[Carrière]])</f>
        <v>0</v>
      </c>
      <c r="H89" s="222">
        <f>IF(ETPRECAP[[#This Row],[Nombre empl.]]=0,0,SUMIF(CCTSAS[Carrière],ETPRECAP[[#This Row],[Carrière]],CCTSAS[Années
(Ancienneté)])/ETPRECAP[[#This Row],[Nombre empl.]])</f>
        <v>0</v>
      </c>
      <c r="I89" s="222">
        <f>SUMIFS(CCTSAS[heures annuelles
selon contrat(s)],CCTSAS[Allocation fonctions],"Encadrement",CCTSAS[Carrière],ETPRECAP[[#This Row],[Carrière]])</f>
        <v>0</v>
      </c>
      <c r="J89" s="223" t="e">
        <f>ETPRECAP[[#This Row],[Heures ETP Encadrement]]/$I$15</f>
        <v>#DIV/0!</v>
      </c>
      <c r="K89" s="222">
        <f>ETPRECAP[[#This Row],[Heures ETP Encadrement]]/RTT!$D$7</f>
        <v>0</v>
      </c>
      <c r="L89" s="23"/>
    </row>
    <row r="90" spans="2:12" x14ac:dyDescent="0.25">
      <c r="B90" s="23" t="s">
        <v>291</v>
      </c>
      <c r="C90" s="23" t="s">
        <v>538</v>
      </c>
      <c r="D90" s="222">
        <f>SUMIF(CCTSAS[Carrière],ETPRECAP[[#This Row],[Carrière]],CCTSAS[heures annuelles
selon contrat(s)])</f>
        <v>0</v>
      </c>
      <c r="E90" s="223" t="e">
        <f>ETPRECAP[[#This Row],[Heures ETP]]/$D$15</f>
        <v>#DIV/0!</v>
      </c>
      <c r="F90" s="222">
        <f>ETPRECAP[[#This Row],[Heures ETP]]/RTT!$D$7</f>
        <v>0</v>
      </c>
      <c r="G90" s="222">
        <f>COUNTIF(CCTSAS[Carrière],ETPRECAP[[#This Row],[Carrière]])</f>
        <v>0</v>
      </c>
      <c r="H90" s="222">
        <f>IF(ETPRECAP[[#This Row],[Nombre empl.]]=0,0,SUMIF(CCTSAS[Carrière],ETPRECAP[[#This Row],[Carrière]],CCTSAS[Années
(Ancienneté)])/ETPRECAP[[#This Row],[Nombre empl.]])</f>
        <v>0</v>
      </c>
      <c r="I90" s="222">
        <f>SUMIFS(CCTSAS[heures annuelles
selon contrat(s)],CCTSAS[Allocation fonctions],"Encadrement",CCTSAS[Carrière],ETPRECAP[[#This Row],[Carrière]])</f>
        <v>0</v>
      </c>
      <c r="J90" s="223" t="e">
        <f>ETPRECAP[[#This Row],[Heures ETP Encadrement]]/$I$15</f>
        <v>#DIV/0!</v>
      </c>
      <c r="K90" s="222">
        <f>ETPRECAP[[#This Row],[Heures ETP Encadrement]]/RTT!$D$7</f>
        <v>0</v>
      </c>
      <c r="L90" s="23"/>
    </row>
    <row r="91" spans="2:12" x14ac:dyDescent="0.25">
      <c r="B91" s="23" t="s">
        <v>292</v>
      </c>
      <c r="C91" s="23" t="s">
        <v>538</v>
      </c>
      <c r="D91" s="222">
        <f>SUMIF(CCTSAS[Carrière],ETPRECAP[[#This Row],[Carrière]],CCTSAS[heures annuelles
selon contrat(s)])</f>
        <v>0</v>
      </c>
      <c r="E91" s="223" t="e">
        <f>ETPRECAP[[#This Row],[Heures ETP]]/$D$15</f>
        <v>#DIV/0!</v>
      </c>
      <c r="F91" s="222">
        <f>ETPRECAP[[#This Row],[Heures ETP]]/RTT!$D$7</f>
        <v>0</v>
      </c>
      <c r="G91" s="222">
        <f>COUNTIF(CCTSAS[Carrière],ETPRECAP[[#This Row],[Carrière]])</f>
        <v>0</v>
      </c>
      <c r="H91" s="222">
        <f>IF(ETPRECAP[[#This Row],[Nombre empl.]]=0,0,SUMIF(CCTSAS[Carrière],ETPRECAP[[#This Row],[Carrière]],CCTSAS[Années
(Ancienneté)])/ETPRECAP[[#This Row],[Nombre empl.]])</f>
        <v>0</v>
      </c>
      <c r="I91" s="222">
        <f>SUMIFS(CCTSAS[heures annuelles
selon contrat(s)],CCTSAS[Allocation fonctions],"Encadrement",CCTSAS[Carrière],ETPRECAP[[#This Row],[Carrière]])</f>
        <v>0</v>
      </c>
      <c r="J91" s="223" t="e">
        <f>ETPRECAP[[#This Row],[Heures ETP Encadrement]]/$I$15</f>
        <v>#DIV/0!</v>
      </c>
      <c r="K91" s="222">
        <f>ETPRECAP[[#This Row],[Heures ETP Encadrement]]/RTT!$D$7</f>
        <v>0</v>
      </c>
      <c r="L91" s="23"/>
    </row>
    <row r="92" spans="2:12" x14ac:dyDescent="0.25">
      <c r="B92" s="23" t="s">
        <v>293</v>
      </c>
      <c r="C92" s="23" t="s">
        <v>538</v>
      </c>
      <c r="D92" s="222">
        <f>SUMIF(CCTSAS[Carrière],ETPRECAP[[#This Row],[Carrière]],CCTSAS[heures annuelles
selon contrat(s)])</f>
        <v>0</v>
      </c>
      <c r="E92" s="223" t="e">
        <f>ETPRECAP[[#This Row],[Heures ETP]]/$D$15</f>
        <v>#DIV/0!</v>
      </c>
      <c r="F92" s="222">
        <f>ETPRECAP[[#This Row],[Heures ETP]]/RTT!$D$7</f>
        <v>0</v>
      </c>
      <c r="G92" s="222">
        <f>COUNTIF(CCTSAS[Carrière],ETPRECAP[[#This Row],[Carrière]])</f>
        <v>0</v>
      </c>
      <c r="H92" s="222">
        <f>IF(ETPRECAP[[#This Row],[Nombre empl.]]=0,0,SUMIF(CCTSAS[Carrière],ETPRECAP[[#This Row],[Carrière]],CCTSAS[Années
(Ancienneté)])/ETPRECAP[[#This Row],[Nombre empl.]])</f>
        <v>0</v>
      </c>
      <c r="I92" s="222">
        <f>SUMIFS(CCTSAS[heures annuelles
selon contrat(s)],CCTSAS[Allocation fonctions],"Encadrement",CCTSAS[Carrière],ETPRECAP[[#This Row],[Carrière]])</f>
        <v>0</v>
      </c>
      <c r="J92" s="223" t="e">
        <f>ETPRECAP[[#This Row],[Heures ETP Encadrement]]/$I$15</f>
        <v>#DIV/0!</v>
      </c>
      <c r="K92" s="222">
        <f>ETPRECAP[[#This Row],[Heures ETP Encadrement]]/RTT!$D$7</f>
        <v>0</v>
      </c>
      <c r="L92" s="23"/>
    </row>
    <row r="93" spans="2:12" x14ac:dyDescent="0.25">
      <c r="B93" s="23" t="s">
        <v>294</v>
      </c>
      <c r="C93" s="23" t="s">
        <v>538</v>
      </c>
      <c r="D93" s="222">
        <f>SUMIF(CCTSAS[Carrière],ETPRECAP[[#This Row],[Carrière]],CCTSAS[heures annuelles
selon contrat(s)])</f>
        <v>0</v>
      </c>
      <c r="E93" s="223" t="e">
        <f>ETPRECAP[[#This Row],[Heures ETP]]/$D$15</f>
        <v>#DIV/0!</v>
      </c>
      <c r="F93" s="222">
        <f>ETPRECAP[[#This Row],[Heures ETP]]/RTT!$D$7</f>
        <v>0</v>
      </c>
      <c r="G93" s="222">
        <f>COUNTIF(CCTSAS[Carrière],ETPRECAP[[#This Row],[Carrière]])</f>
        <v>0</v>
      </c>
      <c r="H93" s="222">
        <f>IF(ETPRECAP[[#This Row],[Nombre empl.]]=0,0,SUMIF(CCTSAS[Carrière],ETPRECAP[[#This Row],[Carrière]],CCTSAS[Années
(Ancienneté)])/ETPRECAP[[#This Row],[Nombre empl.]])</f>
        <v>0</v>
      </c>
      <c r="I93" s="222">
        <f>SUMIFS(CCTSAS[heures annuelles
selon contrat(s)],CCTSAS[Allocation fonctions],"Encadrement",CCTSAS[Carrière],ETPRECAP[[#This Row],[Carrière]])</f>
        <v>0</v>
      </c>
      <c r="J93" s="223" t="e">
        <f>ETPRECAP[[#This Row],[Heures ETP Encadrement]]/$I$15</f>
        <v>#DIV/0!</v>
      </c>
      <c r="K93" s="222">
        <f>ETPRECAP[[#This Row],[Heures ETP Encadrement]]/RTT!$D$7</f>
        <v>0</v>
      </c>
      <c r="L93" s="23"/>
    </row>
    <row r="94" spans="2:12" x14ac:dyDescent="0.25">
      <c r="B94" s="23" t="s">
        <v>295</v>
      </c>
      <c r="C94" s="23" t="s">
        <v>538</v>
      </c>
      <c r="D94" s="222">
        <f>SUMIF(CCTSAS[Carrière],ETPRECAP[[#This Row],[Carrière]],CCTSAS[heures annuelles
selon contrat(s)])</f>
        <v>0</v>
      </c>
      <c r="E94" s="223" t="e">
        <f>ETPRECAP[[#This Row],[Heures ETP]]/$D$15</f>
        <v>#DIV/0!</v>
      </c>
      <c r="F94" s="222">
        <f>ETPRECAP[[#This Row],[Heures ETP]]/RTT!$D$7</f>
        <v>0</v>
      </c>
      <c r="G94" s="222">
        <f>COUNTIF(CCTSAS[Carrière],ETPRECAP[[#This Row],[Carrière]])</f>
        <v>0</v>
      </c>
      <c r="H94" s="222">
        <f>IF(ETPRECAP[[#This Row],[Nombre empl.]]=0,0,SUMIF(CCTSAS[Carrière],ETPRECAP[[#This Row],[Carrière]],CCTSAS[Années
(Ancienneté)])/ETPRECAP[[#This Row],[Nombre empl.]])</f>
        <v>0</v>
      </c>
      <c r="I94" s="222">
        <f>SUMIFS(CCTSAS[heures annuelles
selon contrat(s)],CCTSAS[Allocation fonctions],"Encadrement",CCTSAS[Carrière],ETPRECAP[[#This Row],[Carrière]])</f>
        <v>0</v>
      </c>
      <c r="J94" s="223" t="e">
        <f>ETPRECAP[[#This Row],[Heures ETP Encadrement]]/$I$15</f>
        <v>#DIV/0!</v>
      </c>
      <c r="K94" s="222">
        <f>ETPRECAP[[#This Row],[Heures ETP Encadrement]]/RTT!$D$7</f>
        <v>0</v>
      </c>
      <c r="L94" s="23"/>
    </row>
    <row r="95" spans="2:12" x14ac:dyDescent="0.25">
      <c r="B95" s="23" t="s">
        <v>296</v>
      </c>
      <c r="C95" s="23" t="s">
        <v>538</v>
      </c>
      <c r="D95" s="222">
        <f>SUMIF(CCTSAS[Carrière],ETPRECAP[[#This Row],[Carrière]],CCTSAS[heures annuelles
selon contrat(s)])</f>
        <v>0</v>
      </c>
      <c r="E95" s="223" t="e">
        <f>ETPRECAP[[#This Row],[Heures ETP]]/$D$15</f>
        <v>#DIV/0!</v>
      </c>
      <c r="F95" s="222">
        <f>ETPRECAP[[#This Row],[Heures ETP]]/RTT!$D$7</f>
        <v>0</v>
      </c>
      <c r="G95" s="222">
        <f>COUNTIF(CCTSAS[Carrière],ETPRECAP[[#This Row],[Carrière]])</f>
        <v>0</v>
      </c>
      <c r="H95" s="222">
        <f>IF(ETPRECAP[[#This Row],[Nombre empl.]]=0,0,SUMIF(CCTSAS[Carrière],ETPRECAP[[#This Row],[Carrière]],CCTSAS[Années
(Ancienneté)])/ETPRECAP[[#This Row],[Nombre empl.]])</f>
        <v>0</v>
      </c>
      <c r="I95" s="222">
        <f>SUMIFS(CCTSAS[heures annuelles
selon contrat(s)],CCTSAS[Allocation fonctions],"Encadrement",CCTSAS[Carrière],ETPRECAP[[#This Row],[Carrière]])</f>
        <v>0</v>
      </c>
      <c r="J95" s="223" t="e">
        <f>ETPRECAP[[#This Row],[Heures ETP Encadrement]]/$I$15</f>
        <v>#DIV/0!</v>
      </c>
      <c r="K95" s="222">
        <f>ETPRECAP[[#This Row],[Heures ETP Encadrement]]/RTT!$D$7</f>
        <v>0</v>
      </c>
      <c r="L95" s="23"/>
    </row>
    <row r="96" spans="2:12" x14ac:dyDescent="0.25">
      <c r="B96" s="23" t="s">
        <v>297</v>
      </c>
      <c r="C96" s="23" t="s">
        <v>538</v>
      </c>
      <c r="D96" s="222">
        <f>SUMIF(CCTSAS[Carrière],ETPRECAP[[#This Row],[Carrière]],CCTSAS[heures annuelles
selon contrat(s)])</f>
        <v>0</v>
      </c>
      <c r="E96" s="223" t="e">
        <f>ETPRECAP[[#This Row],[Heures ETP]]/$D$15</f>
        <v>#DIV/0!</v>
      </c>
      <c r="F96" s="222">
        <f>ETPRECAP[[#This Row],[Heures ETP]]/RTT!$D$7</f>
        <v>0</v>
      </c>
      <c r="G96" s="222">
        <f>COUNTIF(CCTSAS[Carrière],ETPRECAP[[#This Row],[Carrière]])</f>
        <v>0</v>
      </c>
      <c r="H96" s="222">
        <f>IF(ETPRECAP[[#This Row],[Nombre empl.]]=0,0,SUMIF(CCTSAS[Carrière],ETPRECAP[[#This Row],[Carrière]],CCTSAS[Années
(Ancienneté)])/ETPRECAP[[#This Row],[Nombre empl.]])</f>
        <v>0</v>
      </c>
      <c r="I96" s="222">
        <f>SUMIFS(CCTSAS[heures annuelles
selon contrat(s)],CCTSAS[Allocation fonctions],"Encadrement",CCTSAS[Carrière],ETPRECAP[[#This Row],[Carrière]])</f>
        <v>0</v>
      </c>
      <c r="J96" s="223" t="e">
        <f>ETPRECAP[[#This Row],[Heures ETP Encadrement]]/$I$15</f>
        <v>#DIV/0!</v>
      </c>
      <c r="K96" s="222">
        <f>ETPRECAP[[#This Row],[Heures ETP Encadrement]]/RTT!$D$7</f>
        <v>0</v>
      </c>
      <c r="L96" s="23"/>
    </row>
    <row r="97" spans="1:12" x14ac:dyDescent="0.25">
      <c r="A97" s="743" t="s">
        <v>364</v>
      </c>
      <c r="B97" s="316" t="s">
        <v>367</v>
      </c>
      <c r="C97" s="316" t="s">
        <v>3</v>
      </c>
      <c r="D97" s="317">
        <f>SUMIF(SalCommune[Carrière],ETPRECAP[[#This Row],[Carrière]],SalCommune[heures annuelles
selon contrat(s)])</f>
        <v>0</v>
      </c>
      <c r="E97" s="318" t="e">
        <f>ETPRECAP[[#This Row],[Heures ETP]]/$D$15</f>
        <v>#DIV/0!</v>
      </c>
      <c r="F97" s="317">
        <f>ETPRECAP[[#This Row],[Heures ETP]]/RTT!$D$7</f>
        <v>0</v>
      </c>
      <c r="G97" s="317">
        <f>COUNTIF(SalCommune[Carrière],ETPRECAP[[#This Row],[Carrière]])</f>
        <v>0</v>
      </c>
      <c r="H97" s="317">
        <f>IF(ETPRECAP[[#This Row],[Nombre empl.]]=0,0,SUMIF(SalCommune[Carrière],ETPRECAP[[#This Row],[Carrière]],SalCommune[Années
(Ancienneté)])/ETPRECAP[[#This Row],[Nombre empl.]])</f>
        <v>0</v>
      </c>
      <c r="I97" s="317">
        <f>SUMIFS(SalCommune[heures annuelles
selon contrat(s)],SalCommune[Allocations fonctions],"Encadrement",SalCommune[Carrière],ETPRECAP[[#This Row],[Carrière]])</f>
        <v>0</v>
      </c>
      <c r="J97" s="318" t="e">
        <f>ETPRECAP[[#This Row],[Heures ETP Encadrement]]/$I$15</f>
        <v>#DIV/0!</v>
      </c>
      <c r="K97" s="317">
        <f>ETPRECAP[[#This Row],[Heures ETP Encadrement]]/RTT!$D$7</f>
        <v>0</v>
      </c>
      <c r="L97" s="319"/>
    </row>
    <row r="98" spans="1:12" x14ac:dyDescent="0.25">
      <c r="A98" s="744"/>
      <c r="B98" s="80" t="s">
        <v>368</v>
      </c>
      <c r="C98" s="80" t="s">
        <v>3</v>
      </c>
      <c r="D98" s="320">
        <f>SUMIF(SalCommune[Carrière],ETPRECAP[[#This Row],[Carrière]],SalCommune[heures annuelles
selon contrat(s)])</f>
        <v>0</v>
      </c>
      <c r="E98" s="321" t="e">
        <f>ETPRECAP[[#This Row],[Heures ETP]]/$D$15</f>
        <v>#DIV/0!</v>
      </c>
      <c r="F98" s="320">
        <f>ETPRECAP[[#This Row],[Heures ETP]]/RTT!$D$7</f>
        <v>0</v>
      </c>
      <c r="G98" s="320">
        <f>COUNTIF(SalCommune[Carrière],ETPRECAP[[#This Row],[Carrière]])</f>
        <v>0</v>
      </c>
      <c r="H98" s="320">
        <f>IF(ETPRECAP[[#This Row],[Nombre empl.]]=0,0,SUMIF(SalCommune[Carrière],ETPRECAP[[#This Row],[Carrière]],SalCommune[Années
(Ancienneté)])/ETPRECAP[[#This Row],[Nombre empl.]])</f>
        <v>0</v>
      </c>
      <c r="I98" s="320">
        <f>SUMIFS(SalCommune[heures annuelles
selon contrat(s)],SalCommune[Allocations fonctions],"Encadrement",SalCommune[Carrière],ETPRECAP[[#This Row],[Carrière]])</f>
        <v>0</v>
      </c>
      <c r="J98" s="321" t="e">
        <f>ETPRECAP[[#This Row],[Heures ETP Encadrement]]/$I$15</f>
        <v>#DIV/0!</v>
      </c>
      <c r="K98" s="320">
        <f>ETPRECAP[[#This Row],[Heures ETP Encadrement]]/RTT!$D$7</f>
        <v>0</v>
      </c>
      <c r="L98" s="322"/>
    </row>
    <row r="99" spans="1:12" x14ac:dyDescent="0.25">
      <c r="A99" s="744"/>
      <c r="B99" s="80" t="s">
        <v>369</v>
      </c>
      <c r="C99" s="80" t="s">
        <v>3</v>
      </c>
      <c r="D99" s="320">
        <f>SUMIF(SalCommune[Carrière],ETPRECAP[[#This Row],[Carrière]],SalCommune[heures annuelles
selon contrat(s)])</f>
        <v>0</v>
      </c>
      <c r="E99" s="321" t="e">
        <f>ETPRECAP[[#This Row],[Heures ETP]]/$D$15</f>
        <v>#DIV/0!</v>
      </c>
      <c r="F99" s="320">
        <f>ETPRECAP[[#This Row],[Heures ETP]]/RTT!$D$7</f>
        <v>0</v>
      </c>
      <c r="G99" s="320">
        <f>COUNTIF(SalCommune[Carrière],ETPRECAP[[#This Row],[Carrière]])</f>
        <v>0</v>
      </c>
      <c r="H99" s="320">
        <f>IF(ETPRECAP[[#This Row],[Nombre empl.]]=0,0,SUMIF(SalCommune[Carrière],ETPRECAP[[#This Row],[Carrière]],SalCommune[Années
(Ancienneté)])/ETPRECAP[[#This Row],[Nombre empl.]])</f>
        <v>0</v>
      </c>
      <c r="I99" s="320">
        <f>SUMIFS(SalCommune[heures annuelles
selon contrat(s)],SalCommune[Allocations fonctions],"Encadrement",SalCommune[Carrière],ETPRECAP[[#This Row],[Carrière]])</f>
        <v>0</v>
      </c>
      <c r="J99" s="321" t="e">
        <f>ETPRECAP[[#This Row],[Heures ETP Encadrement]]/$I$15</f>
        <v>#DIV/0!</v>
      </c>
      <c r="K99" s="320">
        <f>ETPRECAP[[#This Row],[Heures ETP Encadrement]]/RTT!$D$7</f>
        <v>0</v>
      </c>
      <c r="L99" s="322"/>
    </row>
    <row r="100" spans="1:12" x14ac:dyDescent="0.25">
      <c r="A100" s="744"/>
      <c r="B100" s="80" t="s">
        <v>370</v>
      </c>
      <c r="C100" s="80" t="s">
        <v>3</v>
      </c>
      <c r="D100" s="320">
        <f>SUMIF(SalCommune[Carrière],ETPRECAP[[#This Row],[Carrière]],SalCommune[heures annuelles
selon contrat(s)])</f>
        <v>0</v>
      </c>
      <c r="E100" s="321" t="e">
        <f>ETPRECAP[[#This Row],[Heures ETP]]/$D$15</f>
        <v>#DIV/0!</v>
      </c>
      <c r="F100" s="320">
        <f>ETPRECAP[[#This Row],[Heures ETP]]/RTT!$D$7</f>
        <v>0</v>
      </c>
      <c r="G100" s="320">
        <f>COUNTIF(SalCommune[Carrière],ETPRECAP[[#This Row],[Carrière]])</f>
        <v>0</v>
      </c>
      <c r="H100" s="320">
        <f>IF(ETPRECAP[[#This Row],[Nombre empl.]]=0,0,SUMIF(SalCommune[Carrière],ETPRECAP[[#This Row],[Carrière]],SalCommune[Années
(Ancienneté)])/ETPRECAP[[#This Row],[Nombre empl.]])</f>
        <v>0</v>
      </c>
      <c r="I100" s="320">
        <f>SUMIFS(SalCommune[heures annuelles
selon contrat(s)],SalCommune[Allocations fonctions],"Encadrement",SalCommune[Carrière],ETPRECAP[[#This Row],[Carrière]])</f>
        <v>0</v>
      </c>
      <c r="J100" s="321" t="e">
        <f>ETPRECAP[[#This Row],[Heures ETP Encadrement]]/$I$15</f>
        <v>#DIV/0!</v>
      </c>
      <c r="K100" s="320">
        <f>ETPRECAP[[#This Row],[Heures ETP Encadrement]]/RTT!$D$7</f>
        <v>0</v>
      </c>
      <c r="L100" s="322"/>
    </row>
    <row r="101" spans="1:12" x14ac:dyDescent="0.25">
      <c r="A101" s="744"/>
      <c r="B101" s="80" t="s">
        <v>371</v>
      </c>
      <c r="C101" s="80" t="s">
        <v>3</v>
      </c>
      <c r="D101" s="320">
        <f>SUMIF(SalCommune[Carrière],ETPRECAP[[#This Row],[Carrière]],SalCommune[heures annuelles
selon contrat(s)])</f>
        <v>0</v>
      </c>
      <c r="E101" s="321" t="e">
        <f>ETPRECAP[[#This Row],[Heures ETP]]/$D$15</f>
        <v>#DIV/0!</v>
      </c>
      <c r="F101" s="320">
        <f>ETPRECAP[[#This Row],[Heures ETP]]/RTT!$D$7</f>
        <v>0</v>
      </c>
      <c r="G101" s="320">
        <f>COUNTIF(SalCommune[Carrière],ETPRECAP[[#This Row],[Carrière]])</f>
        <v>0</v>
      </c>
      <c r="H101" s="320">
        <f>IF(ETPRECAP[[#This Row],[Nombre empl.]]=0,0,SUMIF(SalCommune[Carrière],ETPRECAP[[#This Row],[Carrière]],SalCommune[Années
(Ancienneté)])/ETPRECAP[[#This Row],[Nombre empl.]])</f>
        <v>0</v>
      </c>
      <c r="I101" s="320">
        <f>SUMIFS(SalCommune[heures annuelles
selon contrat(s)],SalCommune[Allocations fonctions],"Encadrement",SalCommune[Carrière],ETPRECAP[[#This Row],[Carrière]])</f>
        <v>0</v>
      </c>
      <c r="J101" s="321" t="e">
        <f>ETPRECAP[[#This Row],[Heures ETP Encadrement]]/$I$15</f>
        <v>#DIV/0!</v>
      </c>
      <c r="K101" s="320">
        <f>ETPRECAP[[#This Row],[Heures ETP Encadrement]]/RTT!$D$7</f>
        <v>0</v>
      </c>
      <c r="L101" s="322"/>
    </row>
    <row r="102" spans="1:12" x14ac:dyDescent="0.25">
      <c r="A102" s="744"/>
      <c r="B102" s="80" t="s">
        <v>372</v>
      </c>
      <c r="C102" s="80" t="s">
        <v>3</v>
      </c>
      <c r="D102" s="320">
        <f>SUMIF(SalCommune[Carrière],ETPRECAP[[#This Row],[Carrière]],SalCommune[heures annuelles
selon contrat(s)])</f>
        <v>0</v>
      </c>
      <c r="E102" s="321" t="e">
        <f>ETPRECAP[[#This Row],[Heures ETP]]/$D$15</f>
        <v>#DIV/0!</v>
      </c>
      <c r="F102" s="320">
        <f>ETPRECAP[[#This Row],[Heures ETP]]/RTT!$D$7</f>
        <v>0</v>
      </c>
      <c r="G102" s="320">
        <f>COUNTIF(SalCommune[Carrière],ETPRECAP[[#This Row],[Carrière]])</f>
        <v>0</v>
      </c>
      <c r="H102" s="320">
        <f>IF(ETPRECAP[[#This Row],[Nombre empl.]]=0,0,SUMIF(SalCommune[Carrière],ETPRECAP[[#This Row],[Carrière]],SalCommune[Années
(Ancienneté)])/ETPRECAP[[#This Row],[Nombre empl.]])</f>
        <v>0</v>
      </c>
      <c r="I102" s="320">
        <f>SUMIFS(SalCommune[heures annuelles
selon contrat(s)],SalCommune[Allocations fonctions],"Encadrement",SalCommune[Carrière],ETPRECAP[[#This Row],[Carrière]])</f>
        <v>0</v>
      </c>
      <c r="J102" s="321" t="e">
        <f>ETPRECAP[[#This Row],[Heures ETP Encadrement]]/$I$15</f>
        <v>#DIV/0!</v>
      </c>
      <c r="K102" s="320">
        <f>ETPRECAP[[#This Row],[Heures ETP Encadrement]]/RTT!$D$7</f>
        <v>0</v>
      </c>
      <c r="L102" s="322"/>
    </row>
    <row r="103" spans="1:12" x14ac:dyDescent="0.25">
      <c r="A103" s="744"/>
      <c r="B103" s="80" t="s">
        <v>373</v>
      </c>
      <c r="C103" s="80" t="s">
        <v>3</v>
      </c>
      <c r="D103" s="320">
        <f>SUMIF(SalCommune[Carrière],ETPRECAP[[#This Row],[Carrière]],SalCommune[heures annuelles
selon contrat(s)])</f>
        <v>0</v>
      </c>
      <c r="E103" s="321" t="e">
        <f>ETPRECAP[[#This Row],[Heures ETP]]/$D$15</f>
        <v>#DIV/0!</v>
      </c>
      <c r="F103" s="320">
        <f>ETPRECAP[[#This Row],[Heures ETP]]/RTT!$D$7</f>
        <v>0</v>
      </c>
      <c r="G103" s="320">
        <f>COUNTIF(SalCommune[Carrière],ETPRECAP[[#This Row],[Carrière]])</f>
        <v>0</v>
      </c>
      <c r="H103" s="320">
        <f>IF(ETPRECAP[[#This Row],[Nombre empl.]]=0,0,SUMIF(SalCommune[Carrière],ETPRECAP[[#This Row],[Carrière]],SalCommune[Années
(Ancienneté)])/ETPRECAP[[#This Row],[Nombre empl.]])</f>
        <v>0</v>
      </c>
      <c r="I103" s="320">
        <f>SUMIFS(SalCommune[heures annuelles
selon contrat(s)],SalCommune[Allocations fonctions],"Encadrement",SalCommune[Carrière],ETPRECAP[[#This Row],[Carrière]])</f>
        <v>0</v>
      </c>
      <c r="J103" s="321" t="e">
        <f>ETPRECAP[[#This Row],[Heures ETP Encadrement]]/$I$15</f>
        <v>#DIV/0!</v>
      </c>
      <c r="K103" s="320">
        <f>ETPRECAP[[#This Row],[Heures ETP Encadrement]]/RTT!$D$7</f>
        <v>0</v>
      </c>
      <c r="L103" s="322"/>
    </row>
    <row r="104" spans="1:12" x14ac:dyDescent="0.25">
      <c r="A104" s="744"/>
      <c r="B104" s="80" t="s">
        <v>374</v>
      </c>
      <c r="C104" s="80" t="s">
        <v>3</v>
      </c>
      <c r="D104" s="320">
        <f>SUMIF(SalCommune[Carrière],ETPRECAP[[#This Row],[Carrière]],SalCommune[heures annuelles
selon contrat(s)])</f>
        <v>0</v>
      </c>
      <c r="E104" s="321" t="e">
        <f>ETPRECAP[[#This Row],[Heures ETP]]/$D$15</f>
        <v>#DIV/0!</v>
      </c>
      <c r="F104" s="320">
        <f>ETPRECAP[[#This Row],[Heures ETP]]/RTT!$D$7</f>
        <v>0</v>
      </c>
      <c r="G104" s="320">
        <f>COUNTIF(SalCommune[Carrière],ETPRECAP[[#This Row],[Carrière]])</f>
        <v>0</v>
      </c>
      <c r="H104" s="320">
        <f>IF(ETPRECAP[[#This Row],[Nombre empl.]]=0,0,SUMIF(SalCommune[Carrière],ETPRECAP[[#This Row],[Carrière]],SalCommune[Années
(Ancienneté)])/ETPRECAP[[#This Row],[Nombre empl.]])</f>
        <v>0</v>
      </c>
      <c r="I104" s="320">
        <f>SUMIFS(SalCommune[heures annuelles
selon contrat(s)],SalCommune[Allocations fonctions],"Encadrement",SalCommune[Carrière],ETPRECAP[[#This Row],[Carrière]])</f>
        <v>0</v>
      </c>
      <c r="J104" s="321" t="e">
        <f>ETPRECAP[[#This Row],[Heures ETP Encadrement]]/$I$15</f>
        <v>#DIV/0!</v>
      </c>
      <c r="K104" s="320">
        <f>ETPRECAP[[#This Row],[Heures ETP Encadrement]]/RTT!$D$7</f>
        <v>0</v>
      </c>
      <c r="L104" s="322"/>
    </row>
    <row r="105" spans="1:12" x14ac:dyDescent="0.25">
      <c r="A105" s="744"/>
      <c r="B105" s="80" t="s">
        <v>375</v>
      </c>
      <c r="C105" s="80" t="s">
        <v>3</v>
      </c>
      <c r="D105" s="320">
        <f>SUMIF(SalCommune[Carrière],ETPRECAP[[#This Row],[Carrière]],SalCommune[heures annuelles
selon contrat(s)])</f>
        <v>0</v>
      </c>
      <c r="E105" s="321" t="e">
        <f>ETPRECAP[[#This Row],[Heures ETP]]/$D$15</f>
        <v>#DIV/0!</v>
      </c>
      <c r="F105" s="320">
        <f>ETPRECAP[[#This Row],[Heures ETP]]/RTT!$D$7</f>
        <v>0</v>
      </c>
      <c r="G105" s="320">
        <f>COUNTIF(SalCommune[Carrière],ETPRECAP[[#This Row],[Carrière]])</f>
        <v>0</v>
      </c>
      <c r="H105" s="320">
        <f>IF(ETPRECAP[[#This Row],[Nombre empl.]]=0,0,SUMIF(SalCommune[Carrière],ETPRECAP[[#This Row],[Carrière]],SalCommune[Années
(Ancienneté)])/ETPRECAP[[#This Row],[Nombre empl.]])</f>
        <v>0</v>
      </c>
      <c r="I105" s="320">
        <f>SUMIFS(SalCommune[heures annuelles
selon contrat(s)],SalCommune[Allocations fonctions],"Encadrement",SalCommune[Carrière],ETPRECAP[[#This Row],[Carrière]])</f>
        <v>0</v>
      </c>
      <c r="J105" s="321" t="e">
        <f>ETPRECAP[[#This Row],[Heures ETP Encadrement]]/$I$15</f>
        <v>#DIV/0!</v>
      </c>
      <c r="K105" s="320">
        <f>ETPRECAP[[#This Row],[Heures ETP Encadrement]]/RTT!$D$7</f>
        <v>0</v>
      </c>
      <c r="L105" s="322"/>
    </row>
    <row r="106" spans="1:12" x14ac:dyDescent="0.25">
      <c r="A106" s="744"/>
      <c r="B106" s="80" t="s">
        <v>376</v>
      </c>
      <c r="C106" s="80" t="s">
        <v>3</v>
      </c>
      <c r="D106" s="320">
        <f>SUMIF(SalCommune[Carrière],ETPRECAP[[#This Row],[Carrière]],SalCommune[heures annuelles
selon contrat(s)])</f>
        <v>0</v>
      </c>
      <c r="E106" s="321" t="e">
        <f>ETPRECAP[[#This Row],[Heures ETP]]/$D$15</f>
        <v>#DIV/0!</v>
      </c>
      <c r="F106" s="320">
        <f>ETPRECAP[[#This Row],[Heures ETP]]/RTT!$D$7</f>
        <v>0</v>
      </c>
      <c r="G106" s="320">
        <f>COUNTIF(SalCommune[Carrière],ETPRECAP[[#This Row],[Carrière]])</f>
        <v>0</v>
      </c>
      <c r="H106" s="320">
        <f>IF(ETPRECAP[[#This Row],[Nombre empl.]]=0,0,SUMIF(SalCommune[Carrière],ETPRECAP[[#This Row],[Carrière]],SalCommune[Années
(Ancienneté)])/ETPRECAP[[#This Row],[Nombre empl.]])</f>
        <v>0</v>
      </c>
      <c r="I106" s="320">
        <f>SUMIFS(SalCommune[heures annuelles
selon contrat(s)],SalCommune[Allocations fonctions],"Encadrement",SalCommune[Carrière],ETPRECAP[[#This Row],[Carrière]])</f>
        <v>0</v>
      </c>
      <c r="J106" s="321" t="e">
        <f>ETPRECAP[[#This Row],[Heures ETP Encadrement]]/$I$15</f>
        <v>#DIV/0!</v>
      </c>
      <c r="K106" s="320">
        <f>ETPRECAP[[#This Row],[Heures ETP Encadrement]]/RTT!$D$7</f>
        <v>0</v>
      </c>
      <c r="L106" s="322"/>
    </row>
    <row r="107" spans="1:12" x14ac:dyDescent="0.25">
      <c r="A107" s="744"/>
      <c r="B107" s="80" t="s">
        <v>221</v>
      </c>
      <c r="C107" s="80" t="s">
        <v>3</v>
      </c>
      <c r="D107" s="320">
        <f>SUMIF(SalCommune[Carrière],ETPRECAP[[#This Row],[Carrière]],SalCommune[heures annuelles
selon contrat(s)])</f>
        <v>0</v>
      </c>
      <c r="E107" s="321" t="e">
        <f>ETPRECAP[[#This Row],[Heures ETP]]/$D$15</f>
        <v>#DIV/0!</v>
      </c>
      <c r="F107" s="320">
        <f>ETPRECAP[[#This Row],[Heures ETP]]/RTT!$D$7</f>
        <v>0</v>
      </c>
      <c r="G107" s="320">
        <f>COUNTIF(SalCommune[Carrière],ETPRECAP[[#This Row],[Carrière]])</f>
        <v>0</v>
      </c>
      <c r="H107" s="320">
        <f>IF(ETPRECAP[[#This Row],[Nombre empl.]]=0,0,SUMIF(SalCommune[Carrière],ETPRECAP[[#This Row],[Carrière]],SalCommune[Années
(Ancienneté)])/ETPRECAP[[#This Row],[Nombre empl.]])</f>
        <v>0</v>
      </c>
      <c r="I107" s="320">
        <f>SUMIFS(SalCommune[heures annuelles
selon contrat(s)],SalCommune[Allocations fonctions],"Encadrement",SalCommune[Carrière],ETPRECAP[[#This Row],[Carrière]])</f>
        <v>0</v>
      </c>
      <c r="J107" s="321" t="e">
        <f>ETPRECAP[[#This Row],[Heures ETP Encadrement]]/$I$15</f>
        <v>#DIV/0!</v>
      </c>
      <c r="K107" s="320">
        <f>ETPRECAP[[#This Row],[Heures ETP Encadrement]]/RTT!$D$7</f>
        <v>0</v>
      </c>
      <c r="L107" s="322"/>
    </row>
    <row r="108" spans="1:12" x14ac:dyDescent="0.25">
      <c r="A108" s="744"/>
      <c r="B108" s="80" t="s">
        <v>377</v>
      </c>
      <c r="C108" s="80" t="s">
        <v>3</v>
      </c>
      <c r="D108" s="320">
        <f>SUMIF(SalCommune[Carrière],ETPRECAP[[#This Row],[Carrière]],SalCommune[heures annuelles
selon contrat(s)])</f>
        <v>0</v>
      </c>
      <c r="E108" s="321" t="e">
        <f>ETPRECAP[[#This Row],[Heures ETP]]/$D$15</f>
        <v>#DIV/0!</v>
      </c>
      <c r="F108" s="320">
        <f>ETPRECAP[[#This Row],[Heures ETP]]/RTT!$D$7</f>
        <v>0</v>
      </c>
      <c r="G108" s="320">
        <f>COUNTIF(SalCommune[Carrière],ETPRECAP[[#This Row],[Carrière]])</f>
        <v>0</v>
      </c>
      <c r="H108" s="320">
        <f>IF(ETPRECAP[[#This Row],[Nombre empl.]]=0,0,SUMIF(SalCommune[Carrière],ETPRECAP[[#This Row],[Carrière]],SalCommune[Années
(Ancienneté)])/ETPRECAP[[#This Row],[Nombre empl.]])</f>
        <v>0</v>
      </c>
      <c r="I108" s="320">
        <f>SUMIFS(SalCommune[heures annuelles
selon contrat(s)],SalCommune[Allocations fonctions],"Encadrement",SalCommune[Carrière],ETPRECAP[[#This Row],[Carrière]])</f>
        <v>0</v>
      </c>
      <c r="J108" s="321" t="e">
        <f>ETPRECAP[[#This Row],[Heures ETP Encadrement]]/$I$15</f>
        <v>#DIV/0!</v>
      </c>
      <c r="K108" s="320">
        <f>ETPRECAP[[#This Row],[Heures ETP Encadrement]]/RTT!$D$7</f>
        <v>0</v>
      </c>
      <c r="L108" s="322"/>
    </row>
    <row r="109" spans="1:12" x14ac:dyDescent="0.25">
      <c r="A109" s="744"/>
      <c r="B109" s="80" t="s">
        <v>378</v>
      </c>
      <c r="C109" s="80" t="s">
        <v>3</v>
      </c>
      <c r="D109" s="320">
        <f>SUMIF(SalCommune[Carrière],ETPRECAP[[#This Row],[Carrière]],SalCommune[heures annuelles
selon contrat(s)])</f>
        <v>0</v>
      </c>
      <c r="E109" s="321" t="e">
        <f>ETPRECAP[[#This Row],[Heures ETP]]/$D$15</f>
        <v>#DIV/0!</v>
      </c>
      <c r="F109" s="320">
        <f>ETPRECAP[[#This Row],[Heures ETP]]/RTT!$D$7</f>
        <v>0</v>
      </c>
      <c r="G109" s="320">
        <f>COUNTIF(SalCommune[Carrière],ETPRECAP[[#This Row],[Carrière]])</f>
        <v>0</v>
      </c>
      <c r="H109" s="320">
        <f>IF(ETPRECAP[[#This Row],[Nombre empl.]]=0,0,SUMIF(SalCommune[Carrière],ETPRECAP[[#This Row],[Carrière]],SalCommune[Années
(Ancienneté)])/ETPRECAP[[#This Row],[Nombre empl.]])</f>
        <v>0</v>
      </c>
      <c r="I109" s="320">
        <f>SUMIFS(SalCommune[heures annuelles
selon contrat(s)],SalCommune[Allocations fonctions],"Encadrement",SalCommune[Carrière],ETPRECAP[[#This Row],[Carrière]])</f>
        <v>0</v>
      </c>
      <c r="J109" s="321" t="e">
        <f>ETPRECAP[[#This Row],[Heures ETP Encadrement]]/$I$15</f>
        <v>#DIV/0!</v>
      </c>
      <c r="K109" s="320">
        <f>ETPRECAP[[#This Row],[Heures ETP Encadrement]]/RTT!$D$7</f>
        <v>0</v>
      </c>
      <c r="L109" s="322"/>
    </row>
    <row r="110" spans="1:12" x14ac:dyDescent="0.25">
      <c r="A110" s="744"/>
      <c r="B110" s="80" t="s">
        <v>379</v>
      </c>
      <c r="C110" s="80" t="s">
        <v>3</v>
      </c>
      <c r="D110" s="320">
        <f>SUMIF(SalCommune[Carrière],ETPRECAP[[#This Row],[Carrière]],SalCommune[heures annuelles
selon contrat(s)])</f>
        <v>0</v>
      </c>
      <c r="E110" s="321" t="e">
        <f>ETPRECAP[[#This Row],[Heures ETP]]/$D$15</f>
        <v>#DIV/0!</v>
      </c>
      <c r="F110" s="320">
        <f>ETPRECAP[[#This Row],[Heures ETP]]/RTT!$D$7</f>
        <v>0</v>
      </c>
      <c r="G110" s="320">
        <f>COUNTIF(SalCommune[Carrière],ETPRECAP[[#This Row],[Carrière]])</f>
        <v>0</v>
      </c>
      <c r="H110" s="320">
        <f>IF(ETPRECAP[[#This Row],[Nombre empl.]]=0,0,SUMIF(SalCommune[Carrière],ETPRECAP[[#This Row],[Carrière]],SalCommune[Années
(Ancienneté)])/ETPRECAP[[#This Row],[Nombre empl.]])</f>
        <v>0</v>
      </c>
      <c r="I110" s="320">
        <f>SUMIFS(SalCommune[heures annuelles
selon contrat(s)],SalCommune[Allocations fonctions],"Encadrement",SalCommune[Carrière],ETPRECAP[[#This Row],[Carrière]])</f>
        <v>0</v>
      </c>
      <c r="J110" s="321" t="e">
        <f>ETPRECAP[[#This Row],[Heures ETP Encadrement]]/$I$15</f>
        <v>#DIV/0!</v>
      </c>
      <c r="K110" s="320">
        <f>ETPRECAP[[#This Row],[Heures ETP Encadrement]]/RTT!$D$7</f>
        <v>0</v>
      </c>
      <c r="L110" s="322"/>
    </row>
    <row r="111" spans="1:12" x14ac:dyDescent="0.25">
      <c r="A111" s="744"/>
      <c r="B111" s="80" t="s">
        <v>380</v>
      </c>
      <c r="C111" s="80" t="s">
        <v>3</v>
      </c>
      <c r="D111" s="320">
        <f>SUMIF(SalCommune[Carrière],ETPRECAP[[#This Row],[Carrière]],SalCommune[heures annuelles
selon contrat(s)])</f>
        <v>0</v>
      </c>
      <c r="E111" s="321" t="e">
        <f>ETPRECAP[[#This Row],[Heures ETP]]/$D$15</f>
        <v>#DIV/0!</v>
      </c>
      <c r="F111" s="320">
        <f>ETPRECAP[[#This Row],[Heures ETP]]/RTT!$D$7</f>
        <v>0</v>
      </c>
      <c r="G111" s="320">
        <f>COUNTIF(SalCommune[Carrière],ETPRECAP[[#This Row],[Carrière]])</f>
        <v>0</v>
      </c>
      <c r="H111" s="320">
        <f>IF(ETPRECAP[[#This Row],[Nombre empl.]]=0,0,SUMIF(SalCommune[Carrière],ETPRECAP[[#This Row],[Carrière]],SalCommune[Années
(Ancienneté)])/ETPRECAP[[#This Row],[Nombre empl.]])</f>
        <v>0</v>
      </c>
      <c r="I111" s="320">
        <f>SUMIFS(SalCommune[heures annuelles
selon contrat(s)],SalCommune[Allocations fonctions],"Encadrement",SalCommune[Carrière],ETPRECAP[[#This Row],[Carrière]])</f>
        <v>0</v>
      </c>
      <c r="J111" s="321" t="e">
        <f>ETPRECAP[[#This Row],[Heures ETP Encadrement]]/$I$15</f>
        <v>#DIV/0!</v>
      </c>
      <c r="K111" s="320">
        <f>ETPRECAP[[#This Row],[Heures ETP Encadrement]]/RTT!$D$7</f>
        <v>0</v>
      </c>
      <c r="L111" s="322"/>
    </row>
    <row r="112" spans="1:12" x14ac:dyDescent="0.25">
      <c r="A112" s="745"/>
      <c r="B112" s="323" t="s">
        <v>545</v>
      </c>
      <c r="C112" s="323" t="s">
        <v>3</v>
      </c>
      <c r="D112" s="324">
        <f>SUMIF(SalCommune[Carrière],ETPRECAP[[#This Row],[Carrière]],SalCommune[heures annuelles
selon contrat(s)])</f>
        <v>0</v>
      </c>
      <c r="E112" s="325" t="e">
        <f>ETPRECAP[[#This Row],[Heures ETP]]/$D$15</f>
        <v>#DIV/0!</v>
      </c>
      <c r="F112" s="324">
        <f>ETPRECAP[[#This Row],[Heures ETP]]/RTT!$D$7</f>
        <v>0</v>
      </c>
      <c r="G112" s="324">
        <f>COUNTIF(CCTSAS[Carrière],ETPRECAP[[#This Row],[Carrière]])</f>
        <v>0</v>
      </c>
      <c r="H112" s="324">
        <f>IF(ETPRECAP[[#This Row],[Nombre empl.]]=0,0,SUMIF(SalCommune[Carrière],ETPRECAP[[#This Row],[Carrière]],SalCommune[Années
(Ancienneté)])/ETPRECAP[[#This Row],[Nombre empl.]])</f>
        <v>0</v>
      </c>
      <c r="I112" s="324">
        <f>SUMIFS(CCTSAS[heures annuelles
selon contrat(s)],CCTSAS[Allocation fonctions],"Encadrement",CCTSAS[Carrière],ETPRECAP[[#This Row],[Carrière]])</f>
        <v>0</v>
      </c>
      <c r="J112" s="325" t="e">
        <f>ETPRECAP[[#This Row],[Heures ETP Encadrement]]/$I$15</f>
        <v>#DIV/0!</v>
      </c>
      <c r="K112" s="324">
        <f>ETPRECAP[[#This Row],[Heures ETP Encadrement]]/RTT!$D$7</f>
        <v>0</v>
      </c>
      <c r="L112" s="326"/>
    </row>
    <row r="113" spans="1:12" x14ac:dyDescent="0.25">
      <c r="A113" s="743" t="s">
        <v>365</v>
      </c>
      <c r="B113" s="316" t="s">
        <v>381</v>
      </c>
      <c r="C113" s="316" t="s">
        <v>3</v>
      </c>
      <c r="D113" s="317">
        <f>SUMIF(SalCommune[Carrière],ETPRECAP[[#This Row],[Carrière]],SalCommune[heures annuelles
selon contrat(s)])</f>
        <v>0</v>
      </c>
      <c r="E113" s="318" t="e">
        <f>ETPRECAP[[#This Row],[Heures ETP]]/$D$15</f>
        <v>#DIV/0!</v>
      </c>
      <c r="F113" s="317">
        <f>ETPRECAP[[#This Row],[Heures ETP]]/RTT!$D$7</f>
        <v>0</v>
      </c>
      <c r="G113" s="317">
        <f>COUNTIF(SalCommune[Carrière],ETPRECAP[[#This Row],[Carrière]])</f>
        <v>0</v>
      </c>
      <c r="H113" s="317">
        <f>IF(ETPRECAP[[#This Row],[Nombre empl.]]=0,0,SUMIF(SalCommune[Carrière],ETPRECAP[[#This Row],[Carrière]],SalCommune[Années
(Ancienneté)])/ETPRECAP[[#This Row],[Nombre empl.]])</f>
        <v>0</v>
      </c>
      <c r="I113" s="317">
        <f>SUMIFS(SalCommune[heures annuelles
selon contrat(s)],SalCommune[Allocations fonctions],"Encadrement",SalCommune[Carrière],ETPRECAP[[#This Row],[Carrière]])</f>
        <v>0</v>
      </c>
      <c r="J113" s="318" t="e">
        <f>ETPRECAP[[#This Row],[Heures ETP Encadrement]]/$I$15</f>
        <v>#DIV/0!</v>
      </c>
      <c r="K113" s="317">
        <f>ETPRECAP[[#This Row],[Heures ETP Encadrement]]/RTT!$D$7</f>
        <v>0</v>
      </c>
      <c r="L113" s="319"/>
    </row>
    <row r="114" spans="1:12" x14ac:dyDescent="0.25">
      <c r="A114" s="744"/>
      <c r="B114" s="80" t="s">
        <v>382</v>
      </c>
      <c r="C114" s="80" t="s">
        <v>3</v>
      </c>
      <c r="D114" s="320">
        <f>SUMIF(SalCommune[Carrière],ETPRECAP[[#This Row],[Carrière]],SalCommune[heures annuelles
selon contrat(s)])</f>
        <v>0</v>
      </c>
      <c r="E114" s="321" t="e">
        <f>ETPRECAP[[#This Row],[Heures ETP]]/$D$15</f>
        <v>#DIV/0!</v>
      </c>
      <c r="F114" s="320">
        <f>ETPRECAP[[#This Row],[Heures ETP]]/RTT!$D$7</f>
        <v>0</v>
      </c>
      <c r="G114" s="320">
        <f>COUNTIF(SalCommune[Carrière],ETPRECAP[[#This Row],[Carrière]])</f>
        <v>0</v>
      </c>
      <c r="H114" s="320">
        <f>IF(ETPRECAP[[#This Row],[Nombre empl.]]=0,0,SUMIF(SalCommune[Carrière],ETPRECAP[[#This Row],[Carrière]],SalCommune[Années
(Ancienneté)])/ETPRECAP[[#This Row],[Nombre empl.]])</f>
        <v>0</v>
      </c>
      <c r="I114" s="320">
        <f>SUMIFS(SalCommune[heures annuelles
selon contrat(s)],SalCommune[Allocations fonctions],"Encadrement",SalCommune[Carrière],ETPRECAP[[#This Row],[Carrière]])</f>
        <v>0</v>
      </c>
      <c r="J114" s="321" t="e">
        <f>ETPRECAP[[#This Row],[Heures ETP Encadrement]]/$I$15</f>
        <v>#DIV/0!</v>
      </c>
      <c r="K114" s="320">
        <f>ETPRECAP[[#This Row],[Heures ETP Encadrement]]/RTT!$D$7</f>
        <v>0</v>
      </c>
      <c r="L114" s="322"/>
    </row>
    <row r="115" spans="1:12" x14ac:dyDescent="0.25">
      <c r="A115" s="744"/>
      <c r="B115" s="80" t="s">
        <v>383</v>
      </c>
      <c r="C115" s="80" t="s">
        <v>3</v>
      </c>
      <c r="D115" s="320">
        <f>SUMIF(SalCommune[Carrière],ETPRECAP[[#This Row],[Carrière]],SalCommune[heures annuelles
selon contrat(s)])</f>
        <v>0</v>
      </c>
      <c r="E115" s="321" t="e">
        <f>ETPRECAP[[#This Row],[Heures ETP]]/$D$15</f>
        <v>#DIV/0!</v>
      </c>
      <c r="F115" s="320">
        <f>ETPRECAP[[#This Row],[Heures ETP]]/RTT!$D$7</f>
        <v>0</v>
      </c>
      <c r="G115" s="320">
        <f>COUNTIF(SalCommune[Carrière],ETPRECAP[[#This Row],[Carrière]])</f>
        <v>0</v>
      </c>
      <c r="H115" s="320">
        <f>IF(ETPRECAP[[#This Row],[Nombre empl.]]=0,0,SUMIF(SalCommune[Carrière],ETPRECAP[[#This Row],[Carrière]],SalCommune[Années
(Ancienneté)])/ETPRECAP[[#This Row],[Nombre empl.]])</f>
        <v>0</v>
      </c>
      <c r="I115" s="320">
        <f>SUMIFS(SalCommune[heures annuelles
selon contrat(s)],SalCommune[Allocations fonctions],"Encadrement",SalCommune[Carrière],ETPRECAP[[#This Row],[Carrière]])</f>
        <v>0</v>
      </c>
      <c r="J115" s="321" t="e">
        <f>ETPRECAP[[#This Row],[Heures ETP Encadrement]]/$I$15</f>
        <v>#DIV/0!</v>
      </c>
      <c r="K115" s="320">
        <f>ETPRECAP[[#This Row],[Heures ETP Encadrement]]/RTT!$D$7</f>
        <v>0</v>
      </c>
      <c r="L115" s="322"/>
    </row>
    <row r="116" spans="1:12" x14ac:dyDescent="0.25">
      <c r="A116" s="744"/>
      <c r="B116" s="80" t="s">
        <v>384</v>
      </c>
      <c r="C116" s="80" t="s">
        <v>3</v>
      </c>
      <c r="D116" s="320">
        <f>SUMIF(SalCommune[Carrière],ETPRECAP[[#This Row],[Carrière]],SalCommune[heures annuelles
selon contrat(s)])</f>
        <v>0</v>
      </c>
      <c r="E116" s="321" t="e">
        <f>ETPRECAP[[#This Row],[Heures ETP]]/$D$15</f>
        <v>#DIV/0!</v>
      </c>
      <c r="F116" s="320">
        <f>ETPRECAP[[#This Row],[Heures ETP]]/RTT!$D$7</f>
        <v>0</v>
      </c>
      <c r="G116" s="320">
        <f>COUNTIF(SalCommune[Carrière],ETPRECAP[[#This Row],[Carrière]])</f>
        <v>0</v>
      </c>
      <c r="H116" s="320">
        <f>IF(ETPRECAP[[#This Row],[Nombre empl.]]=0,0,SUMIF(SalCommune[Carrière],ETPRECAP[[#This Row],[Carrière]],SalCommune[Années
(Ancienneté)])/ETPRECAP[[#This Row],[Nombre empl.]])</f>
        <v>0</v>
      </c>
      <c r="I116" s="320">
        <f>SUMIFS(SalCommune[heures annuelles
selon contrat(s)],SalCommune[Allocations fonctions],"Encadrement",SalCommune[Carrière],ETPRECAP[[#This Row],[Carrière]])</f>
        <v>0</v>
      </c>
      <c r="J116" s="321" t="e">
        <f>ETPRECAP[[#This Row],[Heures ETP Encadrement]]/$I$15</f>
        <v>#DIV/0!</v>
      </c>
      <c r="K116" s="320">
        <f>ETPRECAP[[#This Row],[Heures ETP Encadrement]]/RTT!$D$7</f>
        <v>0</v>
      </c>
      <c r="L116" s="322"/>
    </row>
    <row r="117" spans="1:12" x14ac:dyDescent="0.25">
      <c r="A117" s="744"/>
      <c r="B117" s="80" t="s">
        <v>385</v>
      </c>
      <c r="C117" s="80" t="s">
        <v>3</v>
      </c>
      <c r="D117" s="320">
        <f>SUMIF(SalCommune[Carrière],ETPRECAP[[#This Row],[Carrière]],SalCommune[heures annuelles
selon contrat(s)])</f>
        <v>0</v>
      </c>
      <c r="E117" s="321" t="e">
        <f>ETPRECAP[[#This Row],[Heures ETP]]/$D$15</f>
        <v>#DIV/0!</v>
      </c>
      <c r="F117" s="320">
        <f>ETPRECAP[[#This Row],[Heures ETP]]/RTT!$D$7</f>
        <v>0</v>
      </c>
      <c r="G117" s="320">
        <f>COUNTIF(SalCommune[Carrière],ETPRECAP[[#This Row],[Carrière]])</f>
        <v>0</v>
      </c>
      <c r="H117" s="320">
        <f>IF(ETPRECAP[[#This Row],[Nombre empl.]]=0,0,SUMIF(SalCommune[Carrière],ETPRECAP[[#This Row],[Carrière]],SalCommune[Années
(Ancienneté)])/ETPRECAP[[#This Row],[Nombre empl.]])</f>
        <v>0</v>
      </c>
      <c r="I117" s="320">
        <f>SUMIFS(SalCommune[heures annuelles
selon contrat(s)],SalCommune[Allocations fonctions],"Encadrement",SalCommune[Carrière],ETPRECAP[[#This Row],[Carrière]])</f>
        <v>0</v>
      </c>
      <c r="J117" s="321" t="e">
        <f>ETPRECAP[[#This Row],[Heures ETP Encadrement]]/$I$15</f>
        <v>#DIV/0!</v>
      </c>
      <c r="K117" s="320">
        <f>ETPRECAP[[#This Row],[Heures ETP Encadrement]]/RTT!$D$7</f>
        <v>0</v>
      </c>
      <c r="L117" s="322"/>
    </row>
    <row r="118" spans="1:12" x14ac:dyDescent="0.25">
      <c r="A118" s="744"/>
      <c r="B118" s="80" t="s">
        <v>386</v>
      </c>
      <c r="C118" s="80" t="s">
        <v>3</v>
      </c>
      <c r="D118" s="320">
        <f>SUMIF(SalCommune[Carrière],ETPRECAP[[#This Row],[Carrière]],SalCommune[heures annuelles
selon contrat(s)])</f>
        <v>0</v>
      </c>
      <c r="E118" s="321" t="e">
        <f>ETPRECAP[[#This Row],[Heures ETP]]/$D$15</f>
        <v>#DIV/0!</v>
      </c>
      <c r="F118" s="320">
        <f>ETPRECAP[[#This Row],[Heures ETP]]/RTT!$D$7</f>
        <v>0</v>
      </c>
      <c r="G118" s="320">
        <f>COUNTIF(SalCommune[Carrière],ETPRECAP[[#This Row],[Carrière]])</f>
        <v>0</v>
      </c>
      <c r="H118" s="320">
        <f>IF(ETPRECAP[[#This Row],[Nombre empl.]]=0,0,SUMIF(SalCommune[Carrière],ETPRECAP[[#This Row],[Carrière]],SalCommune[Années
(Ancienneté)])/ETPRECAP[[#This Row],[Nombre empl.]])</f>
        <v>0</v>
      </c>
      <c r="I118" s="320">
        <f>SUMIFS(SalCommune[heures annuelles
selon contrat(s)],SalCommune[Allocations fonctions],"Encadrement",SalCommune[Carrière],ETPRECAP[[#This Row],[Carrière]])</f>
        <v>0</v>
      </c>
      <c r="J118" s="321" t="e">
        <f>ETPRECAP[[#This Row],[Heures ETP Encadrement]]/$I$15</f>
        <v>#DIV/0!</v>
      </c>
      <c r="K118" s="320">
        <f>ETPRECAP[[#This Row],[Heures ETP Encadrement]]/RTT!$D$7</f>
        <v>0</v>
      </c>
      <c r="L118" s="322"/>
    </row>
    <row r="119" spans="1:12" x14ac:dyDescent="0.25">
      <c r="A119" s="744"/>
      <c r="B119" s="80" t="s">
        <v>543</v>
      </c>
      <c r="C119" s="80" t="s">
        <v>3</v>
      </c>
      <c r="D119" s="320">
        <f>SUMIF(SalCommune[Carrière],ETPRECAP[[#This Row],[Carrière]],SalCommune[heures annuelles
selon contrat(s)])</f>
        <v>0</v>
      </c>
      <c r="E119" s="321" t="e">
        <f>ETPRECAP[[#This Row],[Heures ETP]]/$D$15</f>
        <v>#DIV/0!</v>
      </c>
      <c r="F119" s="320">
        <f>ETPRECAP[[#This Row],[Heures ETP]]/RTT!$D$7</f>
        <v>0</v>
      </c>
      <c r="G119" s="320">
        <f>COUNTIF(SalCommune[Carrière],ETPRECAP[[#This Row],[Carrière]])</f>
        <v>0</v>
      </c>
      <c r="H119" s="320">
        <f>IF(ETPRECAP[[#This Row],[Nombre empl.]]=0,0,SUMIF(SalCommune[Carrière],ETPRECAP[[#This Row],[Carrière]],SalCommune[Années
(Ancienneté)])/ETPRECAP[[#This Row],[Nombre empl.]])</f>
        <v>0</v>
      </c>
      <c r="I119" s="320">
        <f>SUMIFS(SalCommune[heures annuelles
selon contrat(s)],SalCommune[Allocations fonctions],"Encadrement",SalCommune[Carrière],ETPRECAP[[#This Row],[Carrière]])</f>
        <v>0</v>
      </c>
      <c r="J119" s="321" t="e">
        <f>ETPRECAP[[#This Row],[Heures ETP Encadrement]]/$I$15</f>
        <v>#DIV/0!</v>
      </c>
      <c r="K119" s="320">
        <f>ETPRECAP[[#This Row],[Heures ETP Encadrement]]/RTT!$D$7</f>
        <v>0</v>
      </c>
      <c r="L119" s="322"/>
    </row>
    <row r="120" spans="1:12" x14ac:dyDescent="0.25">
      <c r="A120" s="744"/>
      <c r="B120" s="80" t="s">
        <v>238</v>
      </c>
      <c r="C120" s="80" t="s">
        <v>3</v>
      </c>
      <c r="D120" s="320">
        <f>SUMIF(SalCommune[Carrière],ETPRECAP[[#This Row],[Carrière]],SalCommune[heures annuelles
selon contrat(s)])</f>
        <v>0</v>
      </c>
      <c r="E120" s="321" t="e">
        <f>ETPRECAP[[#This Row],[Heures ETP]]/$D$15</f>
        <v>#DIV/0!</v>
      </c>
      <c r="F120" s="320">
        <f>ETPRECAP[[#This Row],[Heures ETP]]/RTT!$D$7</f>
        <v>0</v>
      </c>
      <c r="G120" s="320">
        <f>COUNTIF(SalCommune[Carrière],ETPRECAP[[#This Row],[Carrière]])</f>
        <v>0</v>
      </c>
      <c r="H120" s="320">
        <f>IF(ETPRECAP[[#This Row],[Nombre empl.]]=0,0,SUMIF(SalCommune[Carrière],ETPRECAP[[#This Row],[Carrière]],SalCommune[Années
(Ancienneté)])/ETPRECAP[[#This Row],[Nombre empl.]])</f>
        <v>0</v>
      </c>
      <c r="I120" s="320">
        <f>SUMIFS(SalCommune[heures annuelles
selon contrat(s)],SalCommune[Allocations fonctions],"Encadrement",SalCommune[Carrière],ETPRECAP[[#This Row],[Carrière]])</f>
        <v>0</v>
      </c>
      <c r="J120" s="321" t="e">
        <f>ETPRECAP[[#This Row],[Heures ETP Encadrement]]/$I$15</f>
        <v>#DIV/0!</v>
      </c>
      <c r="K120" s="320">
        <f>ETPRECAP[[#This Row],[Heures ETP Encadrement]]/RTT!$D$7</f>
        <v>0</v>
      </c>
      <c r="L120" s="322"/>
    </row>
    <row r="121" spans="1:12" x14ac:dyDescent="0.25">
      <c r="A121" s="744"/>
      <c r="B121" s="80" t="s">
        <v>544</v>
      </c>
      <c r="C121" s="80" t="s">
        <v>3</v>
      </c>
      <c r="D121" s="320">
        <f>SUMIF(SalCommune[Carrière],ETPRECAP[[#This Row],[Carrière]],SalCommune[heures annuelles
selon contrat(s)])</f>
        <v>0</v>
      </c>
      <c r="E121" s="321" t="e">
        <f>ETPRECAP[[#This Row],[Heures ETP]]/$D$15</f>
        <v>#DIV/0!</v>
      </c>
      <c r="F121" s="320">
        <f>ETPRECAP[[#This Row],[Heures ETP]]/RTT!$D$7</f>
        <v>0</v>
      </c>
      <c r="G121" s="320">
        <f>COUNTIF(SalCommune[Carrière],ETPRECAP[[#This Row],[Carrière]])</f>
        <v>0</v>
      </c>
      <c r="H121" s="320">
        <f>IF(ETPRECAP[[#This Row],[Nombre empl.]]=0,0,SUMIF(SalCommune[Carrière],ETPRECAP[[#This Row],[Carrière]],SalCommune[Années
(Ancienneté)])/ETPRECAP[[#This Row],[Nombre empl.]])</f>
        <v>0</v>
      </c>
      <c r="I121" s="320">
        <f>SUMIFS(SalCommune[heures annuelles
selon contrat(s)],SalCommune[Allocations fonctions],"Encadrement",SalCommune[Carrière],ETPRECAP[[#This Row],[Carrière]])</f>
        <v>0</v>
      </c>
      <c r="J121" s="321" t="e">
        <f>ETPRECAP[[#This Row],[Heures ETP Encadrement]]/$I$15</f>
        <v>#DIV/0!</v>
      </c>
      <c r="K121" s="320">
        <f>ETPRECAP[[#This Row],[Heures ETP Encadrement]]/RTT!$D$7</f>
        <v>0</v>
      </c>
      <c r="L121" s="322"/>
    </row>
    <row r="122" spans="1:12" x14ac:dyDescent="0.25">
      <c r="A122" s="744"/>
      <c r="B122" s="80" t="s">
        <v>387</v>
      </c>
      <c r="C122" s="80" t="s">
        <v>3</v>
      </c>
      <c r="D122" s="320">
        <f>SUMIF(SalCommune[Carrière],ETPRECAP[[#This Row],[Carrière]],SalCommune[heures annuelles
selon contrat(s)])</f>
        <v>0</v>
      </c>
      <c r="E122" s="321" t="e">
        <f>ETPRECAP[[#This Row],[Heures ETP]]/$D$15</f>
        <v>#DIV/0!</v>
      </c>
      <c r="F122" s="320">
        <f>ETPRECAP[[#This Row],[Heures ETP]]/RTT!$D$7</f>
        <v>0</v>
      </c>
      <c r="G122" s="320">
        <f>COUNTIF(SalCommune[Carrière],ETPRECAP[[#This Row],[Carrière]])</f>
        <v>0</v>
      </c>
      <c r="H122" s="320">
        <f>IF(ETPRECAP[[#This Row],[Nombre empl.]]=0,0,SUMIF(SalCommune[Carrière],ETPRECAP[[#This Row],[Carrière]],SalCommune[Années
(Ancienneté)])/ETPRECAP[[#This Row],[Nombre empl.]])</f>
        <v>0</v>
      </c>
      <c r="I122" s="320">
        <f>SUMIFS(SalCommune[heures annuelles
selon contrat(s)],SalCommune[Allocations fonctions],"Encadrement",SalCommune[Carrière],ETPRECAP[[#This Row],[Carrière]])</f>
        <v>0</v>
      </c>
      <c r="J122" s="321" t="e">
        <f>ETPRECAP[[#This Row],[Heures ETP Encadrement]]/$I$15</f>
        <v>#DIV/0!</v>
      </c>
      <c r="K122" s="320">
        <f>ETPRECAP[[#This Row],[Heures ETP Encadrement]]/RTT!$D$7</f>
        <v>0</v>
      </c>
      <c r="L122" s="322"/>
    </row>
    <row r="123" spans="1:12" x14ac:dyDescent="0.25">
      <c r="A123" s="744"/>
      <c r="B123" s="80" t="s">
        <v>388</v>
      </c>
      <c r="C123" s="80" t="s">
        <v>3</v>
      </c>
      <c r="D123" s="320">
        <f>SUMIF(SalCommune[Carrière],ETPRECAP[[#This Row],[Carrière]],SalCommune[heures annuelles
selon contrat(s)])</f>
        <v>0</v>
      </c>
      <c r="E123" s="321" t="e">
        <f>ETPRECAP[[#This Row],[Heures ETP]]/$D$15</f>
        <v>#DIV/0!</v>
      </c>
      <c r="F123" s="320">
        <f>ETPRECAP[[#This Row],[Heures ETP]]/RTT!$D$7</f>
        <v>0</v>
      </c>
      <c r="G123" s="320">
        <f>COUNTIF(SalCommune[Carrière],ETPRECAP[[#This Row],[Carrière]])</f>
        <v>0</v>
      </c>
      <c r="H123" s="320">
        <f>IF(ETPRECAP[[#This Row],[Nombre empl.]]=0,0,SUMIF(SalCommune[Carrière],ETPRECAP[[#This Row],[Carrière]],SalCommune[Années
(Ancienneté)])/ETPRECAP[[#This Row],[Nombre empl.]])</f>
        <v>0</v>
      </c>
      <c r="I123" s="320">
        <f>SUMIFS(SalCommune[heures annuelles
selon contrat(s)],SalCommune[Allocations fonctions],"Encadrement",SalCommune[Carrière],ETPRECAP[[#This Row],[Carrière]])</f>
        <v>0</v>
      </c>
      <c r="J123" s="321" t="e">
        <f>ETPRECAP[[#This Row],[Heures ETP Encadrement]]/$I$15</f>
        <v>#DIV/0!</v>
      </c>
      <c r="K123" s="320">
        <f>ETPRECAP[[#This Row],[Heures ETP Encadrement]]/RTT!$D$7</f>
        <v>0</v>
      </c>
      <c r="L123" s="322"/>
    </row>
    <row r="124" spans="1:12" x14ac:dyDescent="0.25">
      <c r="A124" s="744"/>
      <c r="B124" s="80" t="s">
        <v>236</v>
      </c>
      <c r="C124" s="80" t="s">
        <v>3</v>
      </c>
      <c r="D124" s="320">
        <f>SUMIF(SalCommune[Carrière],ETPRECAP[[#This Row],[Carrière]],SalCommune[heures annuelles
selon contrat(s)])</f>
        <v>0</v>
      </c>
      <c r="E124" s="321" t="e">
        <f>ETPRECAP[[#This Row],[Heures ETP]]/$D$15</f>
        <v>#DIV/0!</v>
      </c>
      <c r="F124" s="320">
        <f>ETPRECAP[[#This Row],[Heures ETP]]/RTT!$D$7</f>
        <v>0</v>
      </c>
      <c r="G124" s="320">
        <f>COUNTIF(SalCommune[Carrière],ETPRECAP[[#This Row],[Carrière]])</f>
        <v>0</v>
      </c>
      <c r="H124" s="320">
        <f>IF(ETPRECAP[[#This Row],[Nombre empl.]]=0,0,SUMIF(SalCommune[Carrière],ETPRECAP[[#This Row],[Carrière]],SalCommune[Années
(Ancienneté)])/ETPRECAP[[#This Row],[Nombre empl.]])</f>
        <v>0</v>
      </c>
      <c r="I124" s="320">
        <f>SUMIFS(SalCommune[heures annuelles
selon contrat(s)],SalCommune[Allocations fonctions],"Encadrement",SalCommune[Carrière],ETPRECAP[[#This Row],[Carrière]])</f>
        <v>0</v>
      </c>
      <c r="J124" s="321" t="e">
        <f>ETPRECAP[[#This Row],[Heures ETP Encadrement]]/$I$15</f>
        <v>#DIV/0!</v>
      </c>
      <c r="K124" s="320">
        <f>ETPRECAP[[#This Row],[Heures ETP Encadrement]]/RTT!$D$7</f>
        <v>0</v>
      </c>
      <c r="L124" s="322"/>
    </row>
    <row r="125" spans="1:12" x14ac:dyDescent="0.25">
      <c r="A125" s="744"/>
      <c r="B125" s="80" t="s">
        <v>239</v>
      </c>
      <c r="C125" s="80" t="s">
        <v>3</v>
      </c>
      <c r="D125" s="320">
        <f>SUMIF(SalCommune[Carrière],ETPRECAP[[#This Row],[Carrière]],SalCommune[heures annuelles
selon contrat(s)])</f>
        <v>0</v>
      </c>
      <c r="E125" s="321" t="e">
        <f>ETPRECAP[[#This Row],[Heures ETP]]/$D$15</f>
        <v>#DIV/0!</v>
      </c>
      <c r="F125" s="320">
        <f>ETPRECAP[[#This Row],[Heures ETP]]/RTT!$D$7</f>
        <v>0</v>
      </c>
      <c r="G125" s="320">
        <f>COUNTIF(SalCommune[Carrière],ETPRECAP[[#This Row],[Carrière]])</f>
        <v>0</v>
      </c>
      <c r="H125" s="320">
        <f>IF(ETPRECAP[[#This Row],[Nombre empl.]]=0,0,SUMIF(SalCommune[Carrière],ETPRECAP[[#This Row],[Carrière]],SalCommune[Années
(Ancienneté)])/ETPRECAP[[#This Row],[Nombre empl.]])</f>
        <v>0</v>
      </c>
      <c r="I125" s="320">
        <f>SUMIFS(SalCommune[heures annuelles
selon contrat(s)],SalCommune[Allocations fonctions],"Encadrement",SalCommune[Carrière],ETPRECAP[[#This Row],[Carrière]])</f>
        <v>0</v>
      </c>
      <c r="J125" s="321" t="e">
        <f>ETPRECAP[[#This Row],[Heures ETP Encadrement]]/$I$15</f>
        <v>#DIV/0!</v>
      </c>
      <c r="K125" s="320">
        <f>ETPRECAP[[#This Row],[Heures ETP Encadrement]]/RTT!$D$7</f>
        <v>0</v>
      </c>
      <c r="L125" s="322"/>
    </row>
    <row r="126" spans="1:12" x14ac:dyDescent="0.25">
      <c r="A126" s="744"/>
      <c r="B126" s="80" t="s">
        <v>389</v>
      </c>
      <c r="C126" s="80" t="s">
        <v>3</v>
      </c>
      <c r="D126" s="320">
        <f>SUMIF(SalCommune[Carrière],ETPRECAP[[#This Row],[Carrière]],SalCommune[heures annuelles
selon contrat(s)])</f>
        <v>0</v>
      </c>
      <c r="E126" s="321" t="e">
        <f>ETPRECAP[[#This Row],[Heures ETP]]/$D$15</f>
        <v>#DIV/0!</v>
      </c>
      <c r="F126" s="320">
        <f>ETPRECAP[[#This Row],[Heures ETP]]/RTT!$D$7</f>
        <v>0</v>
      </c>
      <c r="G126" s="320">
        <f>COUNTIF(SalCommune[Carrière],ETPRECAP[[#This Row],[Carrière]])</f>
        <v>0</v>
      </c>
      <c r="H126" s="320">
        <f>IF(ETPRECAP[[#This Row],[Nombre empl.]]=0,0,SUMIF(SalCommune[Carrière],ETPRECAP[[#This Row],[Carrière]],SalCommune[Années
(Ancienneté)])/ETPRECAP[[#This Row],[Nombre empl.]])</f>
        <v>0</v>
      </c>
      <c r="I126" s="320">
        <f>SUMIFS(SalCommune[heures annuelles
selon contrat(s)],SalCommune[Allocations fonctions],"Encadrement",SalCommune[Carrière],ETPRECAP[[#This Row],[Carrière]])</f>
        <v>0</v>
      </c>
      <c r="J126" s="321" t="e">
        <f>ETPRECAP[[#This Row],[Heures ETP Encadrement]]/$I$15</f>
        <v>#DIV/0!</v>
      </c>
      <c r="K126" s="320">
        <f>ETPRECAP[[#This Row],[Heures ETP Encadrement]]/RTT!$D$7</f>
        <v>0</v>
      </c>
      <c r="L126" s="322"/>
    </row>
    <row r="127" spans="1:12" x14ac:dyDescent="0.25">
      <c r="A127" s="745"/>
      <c r="B127" s="323" t="s">
        <v>347</v>
      </c>
      <c r="C127" s="323" t="s">
        <v>3</v>
      </c>
      <c r="D127" s="324">
        <f>SUMIF(SalCommune[Carrière],ETPRECAP[[#This Row],[Carrière]],SalCommune[heures annuelles
selon contrat(s)])</f>
        <v>0</v>
      </c>
      <c r="E127" s="325" t="e">
        <f>ETPRECAP[[#This Row],[Heures ETP]]/$D$15</f>
        <v>#DIV/0!</v>
      </c>
      <c r="F127" s="324">
        <f>ETPRECAP[[#This Row],[Heures ETP]]/RTT!$D$7</f>
        <v>0</v>
      </c>
      <c r="G127" s="324">
        <f>COUNTIF(SalCommune[Carrière],ETPRECAP[[#This Row],[Carrière]])</f>
        <v>0</v>
      </c>
      <c r="H127" s="324">
        <f>IF(ETPRECAP[[#This Row],[Nombre empl.]]=0,0,SUMIF(SalCommune[Carrière],ETPRECAP[[#This Row],[Carrière]],SalCommune[Années
(Ancienneté)])/ETPRECAP[[#This Row],[Nombre empl.]])</f>
        <v>0</v>
      </c>
      <c r="I127" s="324">
        <f>SUMIFS(SalCommune[heures annuelles
selon contrat(s)],SalCommune[Allocations fonctions],"Encadrement",SalCommune[Carrière],ETPRECAP[[#This Row],[Carrière]])</f>
        <v>0</v>
      </c>
      <c r="J127" s="325" t="e">
        <f>ETPRECAP[[#This Row],[Heures ETP Encadrement]]/$I$15</f>
        <v>#DIV/0!</v>
      </c>
      <c r="K127" s="324">
        <f>ETPRECAP[[#This Row],[Heures ETP Encadrement]]/RTT!$D$7</f>
        <v>0</v>
      </c>
      <c r="L127" s="326"/>
    </row>
    <row r="128" spans="1:12" x14ac:dyDescent="0.25">
      <c r="A128" s="743" t="s">
        <v>366</v>
      </c>
      <c r="B128" s="316" t="s">
        <v>345</v>
      </c>
      <c r="C128" s="316" t="s">
        <v>3</v>
      </c>
      <c r="D128" s="317">
        <f>SUMIF(SalCommune[Carrière],ETPRECAP[[#This Row],[Carrière]],SalCommune[heures annuelles
selon contrat(s)])</f>
        <v>0</v>
      </c>
      <c r="E128" s="318" t="e">
        <f>ETPRECAP[[#This Row],[Heures ETP]]/$D$15</f>
        <v>#DIV/0!</v>
      </c>
      <c r="F128" s="317">
        <f>ETPRECAP[[#This Row],[Heures ETP]]/RTT!$D$7</f>
        <v>0</v>
      </c>
      <c r="G128" s="317">
        <f>COUNTIF(SalCommune[Carrière],ETPRECAP[[#This Row],[Carrière]])</f>
        <v>0</v>
      </c>
      <c r="H128" s="317">
        <f>IF(ETPRECAP[[#This Row],[Nombre empl.]]=0,0,SUMIF(SalCommune[Carrière],ETPRECAP[[#This Row],[Carrière]],SalCommune[Années
(Ancienneté)])/ETPRECAP[[#This Row],[Nombre empl.]])</f>
        <v>0</v>
      </c>
      <c r="I128" s="317">
        <f>SUMIFS(SalCommune[heures annuelles
selon contrat(s)],SalCommune[Allocations fonctions],"Encadrement",SalCommune[Carrière],ETPRECAP[[#This Row],[Carrière]])</f>
        <v>0</v>
      </c>
      <c r="J128" s="318" t="e">
        <f>ETPRECAP[[#This Row],[Heures ETP Encadrement]]/$I$15</f>
        <v>#DIV/0!</v>
      </c>
      <c r="K128" s="317">
        <f>ETPRECAP[[#This Row],[Heures ETP Encadrement]]/RTT!$D$7</f>
        <v>0</v>
      </c>
      <c r="L128" s="319"/>
    </row>
    <row r="129" spans="1:12" x14ac:dyDescent="0.25">
      <c r="A129" s="744"/>
      <c r="B129" s="80" t="s">
        <v>346</v>
      </c>
      <c r="C129" s="80" t="s">
        <v>3</v>
      </c>
      <c r="D129" s="320">
        <f>SUMIF(SalCommune[Carrière],ETPRECAP[[#This Row],[Carrière]],SalCommune[heures annuelles
selon contrat(s)])</f>
        <v>0</v>
      </c>
      <c r="E129" s="321" t="e">
        <f>ETPRECAP[[#This Row],[Heures ETP]]/$D$15</f>
        <v>#DIV/0!</v>
      </c>
      <c r="F129" s="320">
        <f>ETPRECAP[[#This Row],[Heures ETP]]/RTT!$D$7</f>
        <v>0</v>
      </c>
      <c r="G129" s="320">
        <f>COUNTIF(SalCommune[Carrière],ETPRECAP[[#This Row],[Carrière]])</f>
        <v>0</v>
      </c>
      <c r="H129" s="320">
        <f>IF(ETPRECAP[[#This Row],[Nombre empl.]]=0,0,SUMIF(SalCommune[Carrière],ETPRECAP[[#This Row],[Carrière]],SalCommune[Années
(Ancienneté)])/ETPRECAP[[#This Row],[Nombre empl.]])</f>
        <v>0</v>
      </c>
      <c r="I129" s="320">
        <f>SUMIFS(SalCommune[heures annuelles
selon contrat(s)],SalCommune[Allocations fonctions],"Encadrement",SalCommune[Carrière],ETPRECAP[[#This Row],[Carrière]])</f>
        <v>0</v>
      </c>
      <c r="J129" s="321" t="e">
        <f>ETPRECAP[[#This Row],[Heures ETP Encadrement]]/$I$15</f>
        <v>#DIV/0!</v>
      </c>
      <c r="K129" s="320">
        <f>ETPRECAP[[#This Row],[Heures ETP Encadrement]]/RTT!$D$7</f>
        <v>0</v>
      </c>
      <c r="L129" s="322"/>
    </row>
    <row r="130" spans="1:12" x14ac:dyDescent="0.25">
      <c r="A130" s="744"/>
      <c r="B130" s="80" t="s">
        <v>546</v>
      </c>
      <c r="C130" s="80" t="s">
        <v>3</v>
      </c>
      <c r="D130" s="320">
        <f>SUMIF(SalCommune[Carrière],ETPRECAP[[#This Row],[Carrière]],SalCommune[heures annuelles
selon contrat(s)])</f>
        <v>0</v>
      </c>
      <c r="E130" s="321" t="e">
        <f>ETPRECAP[[#This Row],[Heures ETP]]/$D$15</f>
        <v>#DIV/0!</v>
      </c>
      <c r="F130" s="320">
        <f>ETPRECAP[[#This Row],[Heures ETP]]/RTT!$D$7</f>
        <v>0</v>
      </c>
      <c r="G130" s="320">
        <f>COUNTIF(SalCommune[Carrière],ETPRECAP[[#This Row],[Carrière]])</f>
        <v>0</v>
      </c>
      <c r="H130" s="320">
        <f>IF(ETPRECAP[[#This Row],[Nombre empl.]]=0,0,SUMIF(SalCommune[Carrière],ETPRECAP[[#This Row],[Carrière]],SalCommune[Années
(Ancienneté)])/ETPRECAP[[#This Row],[Nombre empl.]])</f>
        <v>0</v>
      </c>
      <c r="I130" s="320">
        <f>SUMIFS(SalCommune[heures annuelles
selon contrat(s)],SalCommune[Allocations fonctions],"Encadrement",SalCommune[Carrière],ETPRECAP[[#This Row],[Carrière]])</f>
        <v>0</v>
      </c>
      <c r="J130" s="321" t="e">
        <f>ETPRECAP[[#This Row],[Heures ETP Encadrement]]/$I$15</f>
        <v>#DIV/0!</v>
      </c>
      <c r="K130" s="320">
        <f>ETPRECAP[[#This Row],[Heures ETP Encadrement]]/RTT!$D$7</f>
        <v>0</v>
      </c>
      <c r="L130" s="322"/>
    </row>
    <row r="131" spans="1:12" x14ac:dyDescent="0.25">
      <c r="A131" s="745"/>
      <c r="B131" s="323" t="s">
        <v>199</v>
      </c>
      <c r="C131" s="323" t="s">
        <v>3</v>
      </c>
      <c r="D131" s="324">
        <f>SUMIF(SalCommune[Carrière],ETPRECAP[[#This Row],[Carrière]],SalCommune[heures annuelles
selon contrat(s)])</f>
        <v>0</v>
      </c>
      <c r="E131" s="325" t="e">
        <f>ETPRECAP[[#This Row],[Heures ETP]]/$D$15</f>
        <v>#DIV/0!</v>
      </c>
      <c r="F131" s="324">
        <f>ETPRECAP[[#This Row],[Heures ETP]]/RTT!$D$7</f>
        <v>0</v>
      </c>
      <c r="G131" s="324">
        <f>COUNTIF(SalCommune[Carrière],ETPRECAP[[#This Row],[Carrière]])</f>
        <v>0</v>
      </c>
      <c r="H131" s="324">
        <f>IF(ETPRECAP[[#This Row],[Nombre empl.]]=0,0,SUMIF(SalCommune[Carrière],ETPRECAP[[#This Row],[Carrière]],SalCommune[Années
(Ancienneté)])/ETPRECAP[[#This Row],[Nombre empl.]])</f>
        <v>0</v>
      </c>
      <c r="I131" s="324">
        <f>SUMIFS(SalCommune[heures annuelles
selon contrat(s)],SalCommune[Allocations fonctions],"Encadrement",SalCommune[Carrière],ETPRECAP[[#This Row],[Carrière]])</f>
        <v>0</v>
      </c>
      <c r="J131" s="325" t="e">
        <f>ETPRECAP[[#This Row],[Heures ETP Encadrement]]/$I$15</f>
        <v>#DIV/0!</v>
      </c>
      <c r="K131" s="324">
        <f>ETPRECAP[[#This Row],[Heures ETP Encadrement]]/RTT!$D$7</f>
        <v>0</v>
      </c>
      <c r="L131" s="326"/>
    </row>
  </sheetData>
  <mergeCells count="4">
    <mergeCell ref="D14:G14"/>
    <mergeCell ref="A97:A112"/>
    <mergeCell ref="A113:A127"/>
    <mergeCell ref="A128:A131"/>
  </mergeCell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O351"/>
  <sheetViews>
    <sheetView topLeftCell="C1" zoomScale="85" zoomScaleNormal="85" workbookViewId="0">
      <selection activeCell="C10" sqref="C10"/>
    </sheetView>
  </sheetViews>
  <sheetFormatPr defaultColWidth="9.140625" defaultRowHeight="15" x14ac:dyDescent="0.25"/>
  <cols>
    <col min="1" max="1" width="9.140625" style="24"/>
    <col min="2" max="2" width="78.42578125" style="24" bestFit="1" customWidth="1"/>
    <col min="3" max="3" width="54.140625" style="24" bestFit="1" customWidth="1"/>
    <col min="4" max="4" width="83" style="24" bestFit="1" customWidth="1"/>
    <col min="5" max="5" width="57.5703125" style="24" customWidth="1"/>
    <col min="6" max="6" width="90.140625" style="24" bestFit="1" customWidth="1"/>
    <col min="7" max="7" width="54.5703125" style="24" bestFit="1" customWidth="1"/>
    <col min="8" max="8" width="90.140625" style="24" bestFit="1" customWidth="1"/>
    <col min="9" max="9" width="9.140625" style="24"/>
    <col min="10" max="10" width="33.5703125" style="24" bestFit="1" customWidth="1"/>
    <col min="11" max="11" width="24.5703125" style="24" bestFit="1" customWidth="1"/>
    <col min="12" max="14" width="9.140625" style="24"/>
    <col min="15" max="15" width="4.28515625" style="24" bestFit="1" customWidth="1"/>
    <col min="16" max="16" width="38.85546875" style="24" bestFit="1" customWidth="1"/>
    <col min="17" max="17" width="46.42578125" style="24" bestFit="1" customWidth="1"/>
    <col min="18" max="18" width="43.7109375" style="24" bestFit="1" customWidth="1"/>
    <col min="19" max="19" width="52.140625" style="24" bestFit="1" customWidth="1"/>
    <col min="20" max="20" width="77.85546875" style="24" bestFit="1" customWidth="1"/>
    <col min="21" max="21" width="73.42578125" style="24" bestFit="1" customWidth="1"/>
    <col min="22" max="22" width="69.85546875" style="24" bestFit="1" customWidth="1"/>
    <col min="23" max="16384" width="9.140625" style="24"/>
  </cols>
  <sheetData>
    <row r="1" spans="2:14" x14ac:dyDescent="0.25">
      <c r="B1" s="11" t="str">
        <f>'Informations générales 1'!B7</f>
        <v>DECOMPTE ANNUEL</v>
      </c>
    </row>
    <row r="2" spans="2:14" x14ac:dyDescent="0.25">
      <c r="B2" s="11" t="str">
        <f>'Informations générales 1'!C20&amp;" - "&amp;'Informations générales 1'!C24</f>
        <v>Nom Gestionnaire - Nom SEA</v>
      </c>
      <c r="N2" s="119"/>
    </row>
    <row r="3" spans="2:14" x14ac:dyDescent="0.25">
      <c r="B3" s="19">
        <f>'Informations générales 1'!C10</f>
        <v>2024</v>
      </c>
    </row>
    <row r="5" spans="2:14" x14ac:dyDescent="0.25">
      <c r="B5" s="25" t="s">
        <v>404</v>
      </c>
    </row>
    <row r="7" spans="2:14" x14ac:dyDescent="0.25">
      <c r="B7" s="101" t="s">
        <v>405</v>
      </c>
      <c r="C7" s="102"/>
      <c r="D7" s="102"/>
      <c r="E7" s="102"/>
      <c r="F7" s="102"/>
      <c r="G7" s="102"/>
      <c r="H7" s="102"/>
      <c r="I7" s="102"/>
      <c r="J7" s="102"/>
      <c r="K7" s="103"/>
    </row>
    <row r="8" spans="2:14" x14ac:dyDescent="0.25">
      <c r="B8" s="485" t="s">
        <v>653</v>
      </c>
      <c r="C8" s="97"/>
      <c r="D8" s="96" t="s">
        <v>76</v>
      </c>
      <c r="E8" s="104" t="str">
        <f>'Informations générales 1'!C16</f>
        <v>Administration communale de</v>
      </c>
      <c r="F8" s="97" t="s">
        <v>621</v>
      </c>
      <c r="G8" s="131" t="s">
        <v>21</v>
      </c>
      <c r="H8" s="112" t="str">
        <f>'Informations générales 1'!C21</f>
        <v>[adresse]</v>
      </c>
      <c r="I8" s="94"/>
      <c r="J8" s="94"/>
      <c r="K8" s="95"/>
    </row>
    <row r="9" spans="2:14" x14ac:dyDescent="0.25">
      <c r="B9" s="486" t="s">
        <v>652</v>
      </c>
      <c r="C9" s="80">
        <f>'Informations générales 3'!C79</f>
        <v>0</v>
      </c>
      <c r="D9" s="96" t="s">
        <v>139</v>
      </c>
      <c r="E9" s="118"/>
      <c r="F9" s="471">
        <f>'Informations générales 1'!C26</f>
        <v>45292</v>
      </c>
      <c r="G9" s="132" t="s">
        <v>22</v>
      </c>
      <c r="H9" s="104" t="str">
        <f>'Informations générales 1'!C22</f>
        <v>[code postal]</v>
      </c>
      <c r="I9" s="97"/>
      <c r="J9" s="97"/>
      <c r="K9" s="98"/>
    </row>
    <row r="10" spans="2:14" ht="15" customHeight="1" x14ac:dyDescent="0.25">
      <c r="B10" s="486" t="s">
        <v>654</v>
      </c>
      <c r="C10" s="97">
        <f>'SALAIRES CCT SAS'!P4+'SALAIRES COMMUNE'!R4</f>
        <v>0</v>
      </c>
      <c r="D10" s="96" t="s">
        <v>33</v>
      </c>
      <c r="E10" s="116" t="str">
        <f>'Informations générales 1'!C20</f>
        <v>Nom Gestionnaire</v>
      </c>
      <c r="F10" s="97" t="s">
        <v>622</v>
      </c>
      <c r="G10" s="113" t="s">
        <v>415</v>
      </c>
      <c r="H10" s="112">
        <f>'Informations générales 1'!C30</f>
        <v>0</v>
      </c>
      <c r="I10" s="93"/>
      <c r="J10" s="125" t="s">
        <v>420</v>
      </c>
      <c r="K10" s="114">
        <f>'Informations générales 1'!C48</f>
        <v>0</v>
      </c>
    </row>
    <row r="11" spans="2:14" ht="30" x14ac:dyDescent="0.25">
      <c r="B11" s="487" t="s">
        <v>655</v>
      </c>
      <c r="C11" s="97">
        <f>'Informations générales 3'!C81</f>
        <v>0</v>
      </c>
      <c r="D11" s="96" t="s">
        <v>406</v>
      </c>
      <c r="E11" s="116" t="str">
        <f>'Informations générales 1'!C24</f>
        <v>Nom SEA</v>
      </c>
      <c r="F11" s="471">
        <f>'Informations générales 1'!C27</f>
        <v>45657</v>
      </c>
      <c r="G11" s="96" t="s">
        <v>416</v>
      </c>
      <c r="H11" s="104">
        <f>'Informations générales 1'!C32</f>
        <v>0</v>
      </c>
      <c r="I11" s="96"/>
      <c r="J11" s="97" t="s">
        <v>416</v>
      </c>
      <c r="K11" s="105">
        <f>'Informations générales 1'!C50</f>
        <v>0</v>
      </c>
    </row>
    <row r="12" spans="2:14" x14ac:dyDescent="0.25">
      <c r="B12" s="486" t="s">
        <v>656</v>
      </c>
      <c r="C12" s="97">
        <f>'Informations générales 3'!C82</f>
        <v>0</v>
      </c>
      <c r="D12" s="96" t="s">
        <v>468</v>
      </c>
      <c r="E12" s="116" t="str">
        <f>'Informations générales 1'!C12</f>
        <v>Tripartite</v>
      </c>
      <c r="F12" s="12" t="s">
        <v>623</v>
      </c>
      <c r="G12" s="96"/>
      <c r="H12" s="104"/>
      <c r="I12" s="96"/>
      <c r="J12" s="97"/>
      <c r="K12" s="105"/>
    </row>
    <row r="13" spans="2:14" x14ac:dyDescent="0.25">
      <c r="B13" s="96"/>
      <c r="C13" s="97"/>
      <c r="D13" s="96" t="s">
        <v>407</v>
      </c>
      <c r="E13" s="117">
        <f>'Informations générales 1'!C14</f>
        <v>0.75</v>
      </c>
      <c r="F13" s="97" t="str">
        <f>'Informations générales 3'!C75</f>
        <v>OUI</v>
      </c>
      <c r="G13" s="96" t="s">
        <v>417</v>
      </c>
      <c r="H13" s="104">
        <f>'Informations générales 1'!C34</f>
        <v>0</v>
      </c>
      <c r="I13" s="96"/>
      <c r="J13" s="97" t="s">
        <v>417</v>
      </c>
      <c r="K13" s="105">
        <f>'Informations générales 1'!C52</f>
        <v>0</v>
      </c>
    </row>
    <row r="14" spans="2:14" x14ac:dyDescent="0.25">
      <c r="B14" s="96"/>
      <c r="C14" s="97"/>
      <c r="D14" s="96" t="s">
        <v>73</v>
      </c>
      <c r="E14" s="116">
        <f>'Informations générales 3'!C7</f>
        <v>0</v>
      </c>
      <c r="F14" s="97"/>
      <c r="G14" s="96" t="s">
        <v>418</v>
      </c>
      <c r="H14" s="104">
        <f>'Informations générales 1'!C36</f>
        <v>0</v>
      </c>
      <c r="I14" s="96"/>
      <c r="J14" s="97" t="s">
        <v>418</v>
      </c>
      <c r="K14" s="105">
        <f>'Informations générales 1'!C54</f>
        <v>0</v>
      </c>
    </row>
    <row r="15" spans="2:14" x14ac:dyDescent="0.25">
      <c r="B15" s="99"/>
      <c r="C15" s="97"/>
      <c r="D15" s="96" t="s">
        <v>413</v>
      </c>
      <c r="E15" s="116" t="str">
        <f>IF(E14="ASBL","ASBL",IF(E14="Commune","COMMUNE","Grand prestataire"))</f>
        <v>Grand prestataire</v>
      </c>
      <c r="F15" s="97"/>
      <c r="G15" s="115" t="s">
        <v>419</v>
      </c>
      <c r="H15" s="104">
        <f>'Informations générales 1'!C38</f>
        <v>0</v>
      </c>
      <c r="I15" s="96"/>
      <c r="J15" s="106" t="s">
        <v>421</v>
      </c>
      <c r="K15" s="105">
        <f>'Informations générales 1'!C56</f>
        <v>0</v>
      </c>
    </row>
    <row r="16" spans="2:14" x14ac:dyDescent="0.25">
      <c r="B16" s="334" t="s">
        <v>547</v>
      </c>
      <c r="C16" s="335" t="s">
        <v>550</v>
      </c>
      <c r="D16" s="335"/>
      <c r="E16" s="336" t="s">
        <v>547</v>
      </c>
      <c r="F16" s="337" t="s">
        <v>551</v>
      </c>
      <c r="G16" s="96" t="s">
        <v>416</v>
      </c>
      <c r="H16" s="104">
        <f>'Informations générales 1'!C40</f>
        <v>0</v>
      </c>
      <c r="I16" s="96"/>
      <c r="J16" s="97" t="s">
        <v>416</v>
      </c>
      <c r="K16" s="105">
        <f>'Informations générales 1'!C58</f>
        <v>0</v>
      </c>
    </row>
    <row r="17" spans="2:11" x14ac:dyDescent="0.25">
      <c r="B17" s="96" t="s">
        <v>548</v>
      </c>
      <c r="C17" s="157">
        <f>F74</f>
        <v>0</v>
      </c>
      <c r="D17" s="97"/>
      <c r="E17" s="329"/>
      <c r="F17" s="331">
        <f>C17-E17</f>
        <v>0</v>
      </c>
      <c r="G17" s="96" t="s">
        <v>417</v>
      </c>
      <c r="H17" s="104">
        <f>'Informations générales 1'!C42</f>
        <v>0</v>
      </c>
      <c r="I17" s="96"/>
      <c r="J17" s="97" t="s">
        <v>417</v>
      </c>
      <c r="K17" s="105">
        <f>'Informations générales 1'!C60</f>
        <v>0</v>
      </c>
    </row>
    <row r="18" spans="2:11" x14ac:dyDescent="0.25">
      <c r="B18" s="96" t="s">
        <v>549</v>
      </c>
      <c r="C18" s="157">
        <f>C74</f>
        <v>0</v>
      </c>
      <c r="D18" s="97"/>
      <c r="E18" s="329"/>
      <c r="F18" s="331">
        <f t="shared" ref="F18:F20" si="0">C18-E18</f>
        <v>0</v>
      </c>
      <c r="G18" s="96" t="s">
        <v>418</v>
      </c>
      <c r="H18" s="104">
        <f>'Informations générales 1'!C44</f>
        <v>0</v>
      </c>
      <c r="I18" s="96"/>
      <c r="J18" s="97" t="s">
        <v>418</v>
      </c>
      <c r="K18" s="105">
        <f>'Informations générales 1'!C62</f>
        <v>0</v>
      </c>
    </row>
    <row r="19" spans="2:11" x14ac:dyDescent="0.25">
      <c r="B19" s="96" t="s">
        <v>552</v>
      </c>
      <c r="C19" s="331">
        <f>H74</f>
        <v>0</v>
      </c>
      <c r="D19" s="97"/>
      <c r="E19" s="329"/>
      <c r="F19" s="331">
        <f t="shared" si="0"/>
        <v>0</v>
      </c>
      <c r="G19" s="96"/>
      <c r="H19" s="97"/>
      <c r="I19" s="96"/>
      <c r="J19" s="97"/>
      <c r="K19" s="98"/>
    </row>
    <row r="20" spans="2:11" x14ac:dyDescent="0.25">
      <c r="B20" s="96" t="s">
        <v>553</v>
      </c>
      <c r="C20" s="157">
        <f>K74</f>
        <v>0</v>
      </c>
      <c r="D20" s="97"/>
      <c r="E20" s="329"/>
      <c r="F20" s="331">
        <f t="shared" si="0"/>
        <v>0</v>
      </c>
      <c r="G20" s="96"/>
      <c r="H20" s="97"/>
      <c r="I20" s="96"/>
      <c r="J20" s="97"/>
      <c r="K20" s="98"/>
    </row>
    <row r="21" spans="2:11" x14ac:dyDescent="0.25">
      <c r="B21" s="99" t="s">
        <v>563</v>
      </c>
      <c r="C21" s="332"/>
      <c r="D21" s="78"/>
      <c r="E21" s="330">
        <v>0</v>
      </c>
      <c r="F21" s="332"/>
      <c r="G21" s="99"/>
      <c r="H21" s="78"/>
      <c r="I21" s="99"/>
      <c r="J21" s="78"/>
      <c r="K21" s="100"/>
    </row>
    <row r="22" spans="2:11" x14ac:dyDescent="0.25">
      <c r="B22" s="327" t="s">
        <v>422</v>
      </c>
      <c r="C22" s="328"/>
      <c r="D22" s="328"/>
      <c r="E22" s="328"/>
      <c r="F22" s="328"/>
      <c r="G22" s="328"/>
      <c r="H22" s="328"/>
      <c r="I22" s="328"/>
      <c r="J22" s="328"/>
      <c r="K22" s="333"/>
    </row>
    <row r="23" spans="2:11" x14ac:dyDescent="0.25">
      <c r="B23" s="93" t="s">
        <v>408</v>
      </c>
      <c r="C23" s="107">
        <f>'Informations générales 3'!C17</f>
        <v>0</v>
      </c>
      <c r="D23" s="94"/>
      <c r="E23" s="125" t="s">
        <v>414</v>
      </c>
      <c r="F23" s="128">
        <f>'Informations générales 3'!C32</f>
        <v>0</v>
      </c>
      <c r="G23" s="94" t="s">
        <v>51</v>
      </c>
      <c r="H23" s="108">
        <f>'Informations générales 3'!C46</f>
        <v>0</v>
      </c>
      <c r="I23" s="94"/>
      <c r="J23" s="125" t="s">
        <v>428</v>
      </c>
      <c r="K23" s="126">
        <f>InformationSEA[[#Totals],[Heures inclusion accordées]]</f>
        <v>0</v>
      </c>
    </row>
    <row r="24" spans="2:11" x14ac:dyDescent="0.25">
      <c r="B24" s="96" t="s">
        <v>409</v>
      </c>
      <c r="C24" s="109">
        <f>'Informations générales 3'!C18</f>
        <v>0</v>
      </c>
      <c r="D24" s="97"/>
      <c r="E24" s="106" t="s">
        <v>423</v>
      </c>
      <c r="F24" s="129">
        <f>'Informations générales 3'!C29</f>
        <v>0</v>
      </c>
      <c r="G24" s="97" t="s">
        <v>52</v>
      </c>
      <c r="H24" s="110">
        <f>'Informations générales 3'!C47</f>
        <v>0</v>
      </c>
      <c r="I24" s="97"/>
      <c r="J24" s="97" t="s">
        <v>49</v>
      </c>
      <c r="K24" s="135">
        <f>MIN(InformationSEA[Date d''accord inclusion])</f>
        <v>0</v>
      </c>
    </row>
    <row r="25" spans="2:11" x14ac:dyDescent="0.25">
      <c r="B25" s="96" t="s">
        <v>43</v>
      </c>
      <c r="C25" s="109">
        <f>'Informations générales 3'!C19</f>
        <v>0</v>
      </c>
      <c r="D25" s="97"/>
      <c r="E25" s="97" t="s">
        <v>424</v>
      </c>
      <c r="F25" s="110">
        <f>'Informations générales 3'!C26</f>
        <v>0</v>
      </c>
      <c r="G25" s="97" t="s">
        <v>53</v>
      </c>
      <c r="H25" s="110">
        <f>'Informations générales 3'!C48</f>
        <v>0</v>
      </c>
      <c r="I25" s="97"/>
      <c r="J25" s="106" t="s">
        <v>429</v>
      </c>
      <c r="K25" s="127">
        <f>IF('Informations générales 3'!C43=0,0,IF(REVEX!C36=0,"Veuillez d'abord compléter les feuille Salaires CCT SAS et/ou Salaires COMMUNE",ROUNDUP('Informations générales 3'!C43/RTT!$D$6*(ROUNDUP(((REVEX!C34/REVEX!C36)*RTT!$D$21)+((1-(REVEX!C34/REVEX!C36))*RTT!$F$21),0)),0)))</f>
        <v>0</v>
      </c>
    </row>
    <row r="26" spans="2:11" x14ac:dyDescent="0.25">
      <c r="B26" s="96" t="s">
        <v>410</v>
      </c>
      <c r="C26" s="109">
        <f>'Informations générales 3'!C20</f>
        <v>0</v>
      </c>
      <c r="D26" s="97"/>
      <c r="E26" s="97" t="s">
        <v>425</v>
      </c>
      <c r="F26" s="110">
        <f>'Informations générales 3'!C33</f>
        <v>0</v>
      </c>
      <c r="G26" s="97" t="s">
        <v>54</v>
      </c>
      <c r="H26" s="110">
        <f>'Informations générales 3'!C49</f>
        <v>0</v>
      </c>
      <c r="I26" s="97"/>
      <c r="J26" s="97" t="s">
        <v>49</v>
      </c>
      <c r="K26" s="136">
        <f>'Informations générales 3'!C40</f>
        <v>0</v>
      </c>
    </row>
    <row r="27" spans="2:11" x14ac:dyDescent="0.25">
      <c r="B27" s="96" t="s">
        <v>42</v>
      </c>
      <c r="C27" s="109">
        <f>'Informations générales 3'!C21</f>
        <v>0</v>
      </c>
      <c r="D27" s="97"/>
      <c r="E27" s="97" t="s">
        <v>426</v>
      </c>
      <c r="F27" s="110">
        <f>'Informations générales 3'!C30</f>
        <v>0</v>
      </c>
      <c r="G27" s="97" t="s">
        <v>55</v>
      </c>
      <c r="H27" s="110">
        <f>'Informations générales 3'!C50</f>
        <v>0</v>
      </c>
      <c r="I27" s="97"/>
      <c r="J27" s="97" t="s">
        <v>488</v>
      </c>
      <c r="K27" s="123">
        <f>'Informations générales 3'!C41</f>
        <v>0</v>
      </c>
    </row>
    <row r="28" spans="2:11" x14ac:dyDescent="0.25">
      <c r="B28" s="96" t="s">
        <v>411</v>
      </c>
      <c r="C28" s="109">
        <f>'Informations générales 3'!C12</f>
        <v>0</v>
      </c>
      <c r="D28" s="97"/>
      <c r="E28" s="106" t="s">
        <v>430</v>
      </c>
      <c r="F28" s="130">
        <f>IF(F23=0,0,F26/F23)</f>
        <v>0</v>
      </c>
      <c r="G28" s="97" t="s">
        <v>56</v>
      </c>
      <c r="H28" s="110">
        <f>'Informations générales 3'!C51</f>
        <v>0</v>
      </c>
      <c r="I28" s="97"/>
      <c r="J28" s="97" t="s">
        <v>489</v>
      </c>
      <c r="K28" s="123">
        <f>'Informations générales 3'!C42</f>
        <v>0</v>
      </c>
    </row>
    <row r="29" spans="2:11" x14ac:dyDescent="0.25">
      <c r="B29" s="96" t="s">
        <v>412</v>
      </c>
      <c r="C29" s="109">
        <f>'Informations générales 3'!C13</f>
        <v>0</v>
      </c>
      <c r="D29" s="97"/>
      <c r="E29" s="106" t="str">
        <f>"Heures de présences réelles enfants / " &amp;delta</f>
        <v>Heures de présences réelles enfants / 0,75</v>
      </c>
      <c r="F29" s="564">
        <f>F26/delta</f>
        <v>0</v>
      </c>
      <c r="G29" s="97"/>
      <c r="H29" s="110"/>
      <c r="I29" s="97"/>
      <c r="J29" s="469" t="s">
        <v>437</v>
      </c>
      <c r="K29" s="137"/>
    </row>
    <row r="30" spans="2:11" x14ac:dyDescent="0.25">
      <c r="B30" s="96" t="s">
        <v>42</v>
      </c>
      <c r="C30" s="109">
        <f>'Informations générales 3'!C14</f>
        <v>0</v>
      </c>
      <c r="D30" s="97"/>
      <c r="E30" s="106" t="str">
        <f>"Heures d'encadrement réelles (PGI) / "&amp;delta</f>
        <v>Heures d'encadrement réelles (PGI) / 0,75</v>
      </c>
      <c r="F30" s="564">
        <f>F27/delta</f>
        <v>0</v>
      </c>
      <c r="G30" s="97" t="s">
        <v>57</v>
      </c>
      <c r="H30" s="110">
        <f>'Informations générales 3'!C52</f>
        <v>0</v>
      </c>
      <c r="I30" s="97"/>
      <c r="J30" s="106" t="s">
        <v>439</v>
      </c>
      <c r="K30" s="137">
        <f>SUM(EBS[heures annuelles])</f>
        <v>0</v>
      </c>
    </row>
    <row r="31" spans="2:11" ht="15" customHeight="1" x14ac:dyDescent="0.25">
      <c r="B31" s="115" t="s">
        <v>515</v>
      </c>
      <c r="C31" s="129">
        <f>'Informations générales 2'!H6</f>
        <v>0</v>
      </c>
      <c r="D31" s="97"/>
      <c r="E31" s="97"/>
      <c r="F31" s="97"/>
      <c r="G31" s="97" t="s">
        <v>58</v>
      </c>
      <c r="H31" s="110">
        <f>'Informations générales 3'!C53</f>
        <v>0</v>
      </c>
      <c r="I31" s="97"/>
      <c r="J31" s="106" t="s">
        <v>438</v>
      </c>
      <c r="K31" s="137">
        <f>'Informations générales 3'!C36</f>
        <v>0</v>
      </c>
    </row>
    <row r="32" spans="2:11" x14ac:dyDescent="0.25">
      <c r="B32" s="99"/>
      <c r="C32" s="78"/>
      <c r="D32" s="78"/>
      <c r="E32" s="78"/>
      <c r="F32" s="78"/>
      <c r="G32" s="78" t="s">
        <v>59</v>
      </c>
      <c r="H32" s="111">
        <f>'Informations générales 3'!C54</f>
        <v>0</v>
      </c>
      <c r="I32" s="78"/>
      <c r="J32" s="161" t="s">
        <v>440</v>
      </c>
      <c r="K32" s="163">
        <f>'Informations générales 3'!C37</f>
        <v>0</v>
      </c>
    </row>
    <row r="33" spans="2:11" x14ac:dyDescent="0.25">
      <c r="B33" s="140" t="s">
        <v>445</v>
      </c>
      <c r="C33" s="133"/>
      <c r="D33" s="133"/>
      <c r="E33" s="133"/>
      <c r="F33" s="133"/>
      <c r="G33" s="133"/>
      <c r="H33" s="133"/>
      <c r="I33" s="133"/>
      <c r="J33" s="133"/>
      <c r="K33" s="134"/>
    </row>
    <row r="34" spans="2:11" x14ac:dyDescent="0.25">
      <c r="B34" s="93" t="s">
        <v>431</v>
      </c>
      <c r="C34" s="107">
        <f>SUMIF(CCTSAS[Allocation fonctions],"Encadrement",CCTSAS[Heures annuelles RTT])</f>
        <v>0</v>
      </c>
      <c r="D34" s="94"/>
      <c r="E34" s="94" t="s">
        <v>459</v>
      </c>
      <c r="F34" s="107">
        <f>SUMIF(CCTSAS[Allocation fonctions],"Projets spécifiques &amp; Renfort Temporaire",CCTSAS[Heures annuelles RTT])</f>
        <v>0</v>
      </c>
      <c r="G34" s="94"/>
      <c r="H34" s="94"/>
      <c r="I34" s="94"/>
      <c r="J34" s="94"/>
      <c r="K34" s="95"/>
    </row>
    <row r="35" spans="2:11" x14ac:dyDescent="0.25">
      <c r="B35" s="96" t="s">
        <v>432</v>
      </c>
      <c r="C35" s="109">
        <f>SUMIF(SalCommune[Allocations fonctions],"Encadrement",SalCommune[Heures annuelles RTT])</f>
        <v>0</v>
      </c>
      <c r="D35" s="97"/>
      <c r="E35" s="97" t="s">
        <v>460</v>
      </c>
      <c r="F35" s="109">
        <f>SUMIF(SalCommune[Allocations fonctions],"Projets spécifiques &amp; Renfort Temporaire",SalCommune[Heures annuelles RTT])</f>
        <v>0</v>
      </c>
      <c r="G35" s="97"/>
      <c r="H35" s="97"/>
      <c r="I35" s="97"/>
      <c r="J35" s="97"/>
      <c r="K35" s="98"/>
    </row>
    <row r="36" spans="2:11" x14ac:dyDescent="0.25">
      <c r="B36" s="96" t="s">
        <v>436</v>
      </c>
      <c r="C36" s="109">
        <f>C34+C35</f>
        <v>0</v>
      </c>
      <c r="D36" s="97"/>
      <c r="E36" s="106" t="s">
        <v>458</v>
      </c>
      <c r="F36" s="129">
        <f>SUM(F34:F35)</f>
        <v>0</v>
      </c>
      <c r="G36" s="97"/>
      <c r="H36" s="97"/>
      <c r="I36" s="97"/>
      <c r="J36" s="97"/>
      <c r="K36" s="98"/>
    </row>
    <row r="37" spans="2:11" x14ac:dyDescent="0.25">
      <c r="B37" s="96" t="s">
        <v>433</v>
      </c>
      <c r="C37" s="109">
        <f>SUMIF(CCTSAS[Allocation fonctions],"Encadrement",CCTSAS[heures annuelles
selon contrat(s)])</f>
        <v>0</v>
      </c>
      <c r="D37" s="97"/>
      <c r="E37" s="97"/>
      <c r="F37" s="97"/>
      <c r="G37" s="97"/>
      <c r="H37" s="97"/>
      <c r="I37" s="97"/>
      <c r="J37" s="97"/>
      <c r="K37" s="98"/>
    </row>
    <row r="38" spans="2:11" x14ac:dyDescent="0.25">
      <c r="B38" s="96" t="s">
        <v>434</v>
      </c>
      <c r="C38" s="109">
        <f>SUMIF(SalCommune[Allocations fonctions],"Encadrement",SalCommune[heures annuelles
selon contrat(s)])</f>
        <v>0</v>
      </c>
      <c r="D38" s="97"/>
      <c r="E38" s="97"/>
      <c r="F38" s="97"/>
      <c r="G38" s="97"/>
      <c r="H38" s="97"/>
      <c r="I38" s="97"/>
      <c r="J38" s="97"/>
      <c r="K38" s="98"/>
    </row>
    <row r="39" spans="2:11" x14ac:dyDescent="0.25">
      <c r="B39" s="99" t="s">
        <v>435</v>
      </c>
      <c r="C39" s="139">
        <f>C37+C38</f>
        <v>0</v>
      </c>
      <c r="D39" s="78"/>
      <c r="E39" s="78"/>
      <c r="F39" s="78"/>
      <c r="G39" s="78"/>
      <c r="H39" s="78"/>
      <c r="I39" s="78"/>
      <c r="J39" s="78"/>
      <c r="K39" s="100"/>
    </row>
    <row r="40" spans="2:11" x14ac:dyDescent="0.25">
      <c r="B40" s="140" t="s">
        <v>441</v>
      </c>
      <c r="C40" s="133"/>
      <c r="D40" s="133"/>
      <c r="E40" s="133"/>
      <c r="F40" s="133"/>
      <c r="G40" s="133"/>
      <c r="H40" s="133"/>
      <c r="I40" s="133"/>
      <c r="J40" s="133"/>
      <c r="K40" s="134"/>
    </row>
    <row r="41" spans="2:11" x14ac:dyDescent="0.25">
      <c r="B41" s="144" t="s">
        <v>254</v>
      </c>
      <c r="C41" s="144" t="s">
        <v>442</v>
      </c>
      <c r="D41" s="145"/>
      <c r="E41" s="146" t="s">
        <v>443</v>
      </c>
      <c r="F41" s="147" t="s">
        <v>359</v>
      </c>
      <c r="G41" s="147" t="s">
        <v>444</v>
      </c>
      <c r="H41" s="97"/>
      <c r="I41" s="97"/>
      <c r="J41" s="97"/>
      <c r="K41" s="98"/>
    </row>
    <row r="42" spans="2:11" x14ac:dyDescent="0.25">
      <c r="B42" s="148" t="s">
        <v>93</v>
      </c>
      <c r="C42" s="149">
        <f>SUMIF(VariablesInternes[Fonction],B42,VariablesInternes[FF])</f>
        <v>0</v>
      </c>
      <c r="D42" s="149"/>
      <c r="E42" s="149">
        <f>SUMIF(VariablesInternes[Fonction],B42,VariablesInternes[FP SAS])</f>
        <v>0</v>
      </c>
      <c r="F42" s="149">
        <f>SUMIF(VariablesInternes[Fonction],B42,VariablesInternes[FP Commune])</f>
        <v>0</v>
      </c>
      <c r="G42" s="153">
        <f>SUM(C42:F42)</f>
        <v>0</v>
      </c>
      <c r="H42" s="97"/>
      <c r="I42" s="97"/>
      <c r="J42" s="113" t="s">
        <v>503</v>
      </c>
      <c r="K42" s="164">
        <f>E42+F42-K48-K49</f>
        <v>0</v>
      </c>
    </row>
    <row r="43" spans="2:11" x14ac:dyDescent="0.25">
      <c r="B43" s="150" t="s">
        <v>94</v>
      </c>
      <c r="C43" s="151">
        <f>SUMIF(VariablesInternes[Fonction],B43,VariablesInternes[FF])</f>
        <v>0</v>
      </c>
      <c r="D43" s="151"/>
      <c r="E43" s="151">
        <f>SUMIF(VariablesInternes[Fonction],B43,VariablesInternes[FP SAS])</f>
        <v>0</v>
      </c>
      <c r="F43" s="151">
        <f>SUMIF(VariablesInternes[Fonction],B43,VariablesInternes[FP Commune])</f>
        <v>0</v>
      </c>
      <c r="G43" s="154">
        <f t="shared" ref="G43:G61" si="1">SUM(C43:F43)</f>
        <v>0</v>
      </c>
      <c r="H43" s="97"/>
      <c r="I43" s="97"/>
      <c r="J43" s="115" t="s">
        <v>504</v>
      </c>
      <c r="K43" s="170">
        <f>G66-K42-G61-C80-C81-C82-G65-C84-K48-K49</f>
        <v>0</v>
      </c>
    </row>
    <row r="44" spans="2:11" x14ac:dyDescent="0.25">
      <c r="B44" s="150" t="s">
        <v>95</v>
      </c>
      <c r="C44" s="151">
        <f>SUMIF(VariablesInternes[Fonction],B44,VariablesInternes[FF])</f>
        <v>0</v>
      </c>
      <c r="D44" s="151"/>
      <c r="E44" s="151">
        <f>SUMIF(VariablesInternes[Fonction],B44,VariablesInternes[FP SAS])</f>
        <v>0</v>
      </c>
      <c r="F44" s="151">
        <f>SUMIF(VariablesInternes[Fonction],B44,VariablesInternes[FP Commune])</f>
        <v>0</v>
      </c>
      <c r="G44" s="154">
        <f t="shared" si="1"/>
        <v>0</v>
      </c>
      <c r="H44" s="97"/>
      <c r="I44" s="97"/>
      <c r="J44" s="115" t="s">
        <v>507</v>
      </c>
      <c r="K44" s="170">
        <f>SUM(E61:F61)</f>
        <v>0</v>
      </c>
    </row>
    <row r="45" spans="2:11" x14ac:dyDescent="0.25">
      <c r="B45" s="150" t="s">
        <v>96</v>
      </c>
      <c r="C45" s="151">
        <f>SUMIF(VariablesInternes[Fonction],B45,VariablesInternes[FF])</f>
        <v>0</v>
      </c>
      <c r="D45" s="151"/>
      <c r="E45" s="151">
        <f>SUMIF(VariablesInternes[Fonction],B45,VariablesInternes[FP SAS])</f>
        <v>0</v>
      </c>
      <c r="F45" s="151">
        <f>SUMIF(VariablesInternes[Fonction],B45,VariablesInternes[FP Commune])</f>
        <v>0</v>
      </c>
      <c r="G45" s="154">
        <f t="shared" si="1"/>
        <v>0</v>
      </c>
      <c r="H45" s="97"/>
      <c r="I45" s="97"/>
      <c r="J45" s="115" t="s">
        <v>508</v>
      </c>
      <c r="K45" s="170">
        <f>C61</f>
        <v>0</v>
      </c>
    </row>
    <row r="46" spans="2:11" ht="15.75" thickBot="1" x14ac:dyDescent="0.3">
      <c r="B46" s="150" t="s">
        <v>97</v>
      </c>
      <c r="C46" s="151">
        <f>SUMIF(VariablesInternes[Fonction],B46,VariablesInternes[FF])</f>
        <v>0</v>
      </c>
      <c r="D46" s="151"/>
      <c r="E46" s="151">
        <f>SUMIF(VariablesInternes[Fonction],B46,VariablesInternes[FP SAS])</f>
        <v>0</v>
      </c>
      <c r="F46" s="151">
        <f>SUMIF(VariablesInternes[Fonction],B46,VariablesInternes[FP Commune])</f>
        <v>0</v>
      </c>
      <c r="G46" s="154">
        <f t="shared" si="1"/>
        <v>0</v>
      </c>
      <c r="H46" s="97"/>
      <c r="I46" s="97"/>
      <c r="J46" s="113" t="s">
        <v>506</v>
      </c>
      <c r="K46" s="164">
        <f>SUM(K42:K45)</f>
        <v>0</v>
      </c>
    </row>
    <row r="47" spans="2:11" x14ac:dyDescent="0.25">
      <c r="B47" s="150" t="s">
        <v>111</v>
      </c>
      <c r="C47" s="151">
        <f>SUMIF(VariablesInternes[Fonction],B47,VariablesInternes[FF])</f>
        <v>0</v>
      </c>
      <c r="D47" s="151"/>
      <c r="E47" s="151">
        <f>SUMIF(VariablesInternes[Fonction],B47,VariablesInternes[FP SAS])</f>
        <v>0</v>
      </c>
      <c r="F47" s="151">
        <f>SUMIF(VariablesInternes[Fonction],B47,VariablesInternes[FP Commune])</f>
        <v>0</v>
      </c>
      <c r="G47" s="154">
        <f t="shared" si="1"/>
        <v>0</v>
      </c>
      <c r="H47" s="97"/>
      <c r="I47" s="97"/>
      <c r="J47" s="556" t="s">
        <v>93</v>
      </c>
      <c r="K47" s="557" t="s">
        <v>710</v>
      </c>
    </row>
    <row r="48" spans="2:11" x14ac:dyDescent="0.25">
      <c r="B48" s="150" t="s">
        <v>98</v>
      </c>
      <c r="C48" s="151">
        <f>SUMIF(VariablesInternes[Fonction],B48,VariablesInternes[FF])</f>
        <v>0</v>
      </c>
      <c r="D48" s="151"/>
      <c r="E48" s="151">
        <f>SUMIF(VariablesInternes[Fonction],B48,VariablesInternes[FP SAS])</f>
        <v>0</v>
      </c>
      <c r="F48" s="151">
        <f>SUMIF(VariablesInternes[Fonction],B48,VariablesInternes[FP Commune])</f>
        <v>0</v>
      </c>
      <c r="G48" s="154">
        <f t="shared" si="1"/>
        <v>0</v>
      </c>
      <c r="H48" s="97"/>
      <c r="I48" s="97"/>
      <c r="J48" s="558" t="s">
        <v>708</v>
      </c>
      <c r="K48" s="559">
        <f>SUMIFS(CCTSAS[Total éligible],CCTSAS[Carrière],J48,CCTSAS[Allocation fonctions],$J$47)+SUMIFS(SalCommune[Total éligible],SalCommune[Carrière],J48,SalCommune[Allocations fonctions],$J$47)</f>
        <v>0</v>
      </c>
    </row>
    <row r="49" spans="2:11" ht="15.75" thickBot="1" x14ac:dyDescent="0.3">
      <c r="B49" s="150" t="s">
        <v>99</v>
      </c>
      <c r="C49" s="151">
        <f>SUMIF(VariablesInternes[Fonction],B49,VariablesInternes[FF])</f>
        <v>0</v>
      </c>
      <c r="D49" s="151"/>
      <c r="E49" s="151">
        <f>SUMIF(VariablesInternes[Fonction],B49,VariablesInternes[FP SAS])</f>
        <v>0</v>
      </c>
      <c r="F49" s="151">
        <f>SUMIF(VariablesInternes[Fonction],B49,VariablesInternes[FP Commune])</f>
        <v>0</v>
      </c>
      <c r="G49" s="154">
        <f t="shared" si="1"/>
        <v>0</v>
      </c>
      <c r="H49" s="97"/>
      <c r="I49" s="97"/>
      <c r="J49" s="560" t="s">
        <v>709</v>
      </c>
      <c r="K49" s="561">
        <f>SUMIFS(CCTSAS[Total éligible],CCTSAS[Carrière],J49,CCTSAS[Allocation fonctions],$J$47)+SUMIFS(SalCommune[Total éligible],SalCommune[Carrière],J49,SalCommune[Allocations fonctions],$J$47)</f>
        <v>0</v>
      </c>
    </row>
    <row r="50" spans="2:11" ht="15" customHeight="1" x14ac:dyDescent="0.25">
      <c r="B50" s="150" t="s">
        <v>100</v>
      </c>
      <c r="C50" s="151">
        <f>SUMIF(VariablesInternes[Fonction],B50,VariablesInternes[FF])</f>
        <v>0</v>
      </c>
      <c r="D50" s="151"/>
      <c r="E50" s="151">
        <f>SUMIF(VariablesInternes[Fonction],B50,VariablesInternes[FP SAS])</f>
        <v>0</v>
      </c>
      <c r="F50" s="151">
        <f>SUMIF(VariablesInternes[Fonction],B50,VariablesInternes[FP Commune])</f>
        <v>0</v>
      </c>
      <c r="G50" s="154">
        <f t="shared" si="1"/>
        <v>0</v>
      </c>
      <c r="H50" s="97"/>
      <c r="I50" s="97"/>
      <c r="J50" s="97"/>
      <c r="K50" s="98"/>
    </row>
    <row r="51" spans="2:11" x14ac:dyDescent="0.25">
      <c r="B51" s="150" t="s">
        <v>101</v>
      </c>
      <c r="C51" s="151">
        <f>SUMIF(VariablesInternes[Fonction],B51,VariablesInternes[FF])</f>
        <v>0</v>
      </c>
      <c r="D51" s="151"/>
      <c r="E51" s="151">
        <f>SUMIF(VariablesInternes[Fonction],B51,VariablesInternes[FP SAS])</f>
        <v>0</v>
      </c>
      <c r="F51" s="151">
        <f>SUMIF(VariablesInternes[Fonction],B51,VariablesInternes[FP Commune])</f>
        <v>0</v>
      </c>
      <c r="G51" s="154">
        <f t="shared" si="1"/>
        <v>0</v>
      </c>
      <c r="H51" s="97"/>
      <c r="I51" s="97"/>
      <c r="J51" s="97"/>
      <c r="K51" s="98"/>
    </row>
    <row r="52" spans="2:11" x14ac:dyDescent="0.25">
      <c r="B52" s="150" t="s">
        <v>102</v>
      </c>
      <c r="C52" s="151">
        <f>SUMIF(VariablesInternes[Fonction],B52,VariablesInternes[FF])</f>
        <v>0</v>
      </c>
      <c r="D52" s="151"/>
      <c r="E52" s="151">
        <f>SUMIF(VariablesInternes[Fonction],B52,VariablesInternes[FP SAS])</f>
        <v>0</v>
      </c>
      <c r="F52" s="151">
        <f>SUMIF(VariablesInternes[Fonction],B52,VariablesInternes[FP Commune])</f>
        <v>0</v>
      </c>
      <c r="G52" s="154">
        <f t="shared" si="1"/>
        <v>0</v>
      </c>
      <c r="H52" s="97"/>
      <c r="I52" s="97"/>
      <c r="J52" s="97"/>
      <c r="K52" s="98"/>
    </row>
    <row r="53" spans="2:11" x14ac:dyDescent="0.25">
      <c r="B53" s="150" t="s">
        <v>103</v>
      </c>
      <c r="C53" s="151">
        <f>SUMIF(VariablesInternes[Fonction],B53,VariablesInternes[FF])</f>
        <v>0</v>
      </c>
      <c r="D53" s="151"/>
      <c r="E53" s="151">
        <f>SUMIF(VariablesInternes[Fonction],B53,VariablesInternes[FP SAS])</f>
        <v>0</v>
      </c>
      <c r="F53" s="151">
        <f>SUMIF(VariablesInternes[Fonction],B53,VariablesInternes[FP Commune])</f>
        <v>0</v>
      </c>
      <c r="G53" s="154">
        <f t="shared" si="1"/>
        <v>0</v>
      </c>
      <c r="H53" s="97"/>
      <c r="I53" s="97"/>
      <c r="J53" s="97"/>
      <c r="K53" s="98"/>
    </row>
    <row r="54" spans="2:11" x14ac:dyDescent="0.25">
      <c r="B54" s="150" t="s">
        <v>638</v>
      </c>
      <c r="C54" s="151">
        <f>SUMIF(VariablesInternes[Fonction],B54,VariablesInternes[FF])</f>
        <v>0</v>
      </c>
      <c r="D54" s="151"/>
      <c r="E54" s="151">
        <f>SUMIF(VariablesInternes[Fonction],B54,VariablesInternes[FP SAS])</f>
        <v>0</v>
      </c>
      <c r="F54" s="151">
        <f>SUMIF(VariablesInternes[Fonction],B54,VariablesInternes[FP Commune])</f>
        <v>0</v>
      </c>
      <c r="G54" s="154">
        <f t="shared" si="1"/>
        <v>0</v>
      </c>
      <c r="H54" s="97"/>
      <c r="I54" s="97"/>
      <c r="J54" s="97"/>
      <c r="K54" s="98"/>
    </row>
    <row r="55" spans="2:11" x14ac:dyDescent="0.25">
      <c r="B55" s="150" t="s">
        <v>637</v>
      </c>
      <c r="C55" s="151">
        <f>SUMIF(VariablesInternes[Fonction],B55,VariablesInternes[FF])</f>
        <v>0</v>
      </c>
      <c r="D55" s="151"/>
      <c r="E55" s="151">
        <f>SUMIF(VariablesInternes[Fonction],B55,VariablesInternes[FP SAS])</f>
        <v>0</v>
      </c>
      <c r="F55" s="151">
        <f>SUMIF(VariablesInternes[Fonction],B55,VariablesInternes[FP Commune])</f>
        <v>0</v>
      </c>
      <c r="G55" s="154">
        <f t="shared" ref="G55" si="2">SUM(C55:F55)</f>
        <v>0</v>
      </c>
      <c r="H55" s="97"/>
      <c r="I55" s="97"/>
      <c r="J55" s="97"/>
      <c r="K55" s="98"/>
    </row>
    <row r="56" spans="2:11" x14ac:dyDescent="0.25">
      <c r="B56" s="150" t="s">
        <v>105</v>
      </c>
      <c r="C56" s="151">
        <f>SUMIF(VariablesInternes[Fonction],B56,VariablesInternes[FF])</f>
        <v>0</v>
      </c>
      <c r="D56" s="151"/>
      <c r="E56" s="151">
        <f>SUMIF(VariablesInternes[Fonction],B56,VariablesInternes[FP SAS])</f>
        <v>0</v>
      </c>
      <c r="F56" s="151">
        <f>SUMIF(VariablesInternes[Fonction],B56,VariablesInternes[FP Commune])</f>
        <v>0</v>
      </c>
      <c r="G56" s="154">
        <f t="shared" si="1"/>
        <v>0</v>
      </c>
      <c r="H56" s="97"/>
      <c r="I56" s="97"/>
      <c r="J56" s="97"/>
      <c r="K56" s="98"/>
    </row>
    <row r="57" spans="2:11" x14ac:dyDescent="0.25">
      <c r="B57" s="150" t="s">
        <v>106</v>
      </c>
      <c r="C57" s="151">
        <f>SUMIF(VariablesInternes[Fonction],B57,VariablesInternes[FF])</f>
        <v>0</v>
      </c>
      <c r="D57" s="151"/>
      <c r="E57" s="151">
        <f>SUMIF(VariablesInternes[Fonction],B57,VariablesInternes[FP SAS])</f>
        <v>0</v>
      </c>
      <c r="F57" s="151">
        <f>SUMIF(VariablesInternes[Fonction],B57,VariablesInternes[FP Commune])</f>
        <v>0</v>
      </c>
      <c r="G57" s="154">
        <f t="shared" si="1"/>
        <v>0</v>
      </c>
      <c r="H57" s="97"/>
      <c r="I57" s="97"/>
      <c r="J57" s="97"/>
      <c r="K57" s="98"/>
    </row>
    <row r="58" spans="2:11" x14ac:dyDescent="0.25">
      <c r="B58" s="150" t="s">
        <v>107</v>
      </c>
      <c r="C58" s="151">
        <f>SUMIF(VariablesInternes[Fonction],B58,VariablesInternes[FF])</f>
        <v>0</v>
      </c>
      <c r="D58" s="151"/>
      <c r="E58" s="151">
        <f>SUMIF(VariablesInternes[Fonction],B58,VariablesInternes[FP SAS])</f>
        <v>0</v>
      </c>
      <c r="F58" s="151">
        <f>SUMIF(VariablesInternes[Fonction],B58,VariablesInternes[FP Commune])</f>
        <v>0</v>
      </c>
      <c r="G58" s="154">
        <f t="shared" si="1"/>
        <v>0</v>
      </c>
      <c r="H58" s="97"/>
      <c r="I58" s="97"/>
      <c r="J58" s="97"/>
      <c r="K58" s="98"/>
    </row>
    <row r="59" spans="2:11" x14ac:dyDescent="0.25">
      <c r="B59" s="150" t="s">
        <v>108</v>
      </c>
      <c r="C59" s="151">
        <f>SUMIF(VariablesInternes[Fonction],B59,VariablesInternes[FF])</f>
        <v>0</v>
      </c>
      <c r="D59" s="151"/>
      <c r="E59" s="151">
        <f>SUMIF(VariablesInternes[Fonction],B59,VariablesInternes[FP SAS])</f>
        <v>0</v>
      </c>
      <c r="F59" s="151">
        <f>SUMIF(VariablesInternes[Fonction],B59,VariablesInternes[FP Commune])</f>
        <v>0</v>
      </c>
      <c r="G59" s="154">
        <f t="shared" si="1"/>
        <v>0</v>
      </c>
      <c r="H59" s="97"/>
      <c r="I59" s="97"/>
      <c r="J59" s="97"/>
      <c r="K59" s="98"/>
    </row>
    <row r="60" spans="2:11" x14ac:dyDescent="0.25">
      <c r="B60" s="150" t="s">
        <v>109</v>
      </c>
      <c r="C60" s="151">
        <f>SUMIF(VariablesInternes[Fonction],B60,VariablesInternes[FF])</f>
        <v>0</v>
      </c>
      <c r="D60" s="151"/>
      <c r="E60" s="151">
        <f>SUMIF(VariablesInternes[Fonction],B60,VariablesInternes[FP SAS])</f>
        <v>0</v>
      </c>
      <c r="F60" s="151">
        <f>SUMIF(VariablesInternes[Fonction],B60,VariablesInternes[FP Commune])</f>
        <v>0</v>
      </c>
      <c r="G60" s="154">
        <f t="shared" si="1"/>
        <v>0</v>
      </c>
      <c r="H60" s="97"/>
      <c r="I60" s="97"/>
      <c r="J60" s="97"/>
      <c r="K60" s="98"/>
    </row>
    <row r="61" spans="2:11" x14ac:dyDescent="0.25">
      <c r="B61" s="150" t="s">
        <v>610</v>
      </c>
      <c r="C61" s="151">
        <f>SUMIF(VariablesInternes[Fonction],B61,VariablesInternes[FF])</f>
        <v>0</v>
      </c>
      <c r="D61" s="151"/>
      <c r="E61" s="151">
        <f>SUMIF(VariablesInternes[Fonction],B61,VariablesInternes[FP SAS])</f>
        <v>0</v>
      </c>
      <c r="F61" s="151">
        <f>SUMIF(VariablesInternes[Fonction],B61,VariablesInternes[FP Commune])</f>
        <v>0</v>
      </c>
      <c r="G61" s="154">
        <f t="shared" si="1"/>
        <v>0</v>
      </c>
      <c r="H61" s="97"/>
      <c r="I61" s="97"/>
      <c r="J61" s="97"/>
      <c r="K61" s="98"/>
    </row>
    <row r="62" spans="2:11" x14ac:dyDescent="0.25">
      <c r="B62" s="150" t="s">
        <v>627</v>
      </c>
      <c r="C62" s="151">
        <f>SUMIF(VariablesInternes[Fonction],B62,VariablesInternes[FF])</f>
        <v>0</v>
      </c>
      <c r="D62" s="151"/>
      <c r="E62" s="151">
        <f>SUMIF(VariablesInternes[Fonction],B62,VariablesInternes[FP SAS])</f>
        <v>0</v>
      </c>
      <c r="F62" s="151">
        <f>SUMIF(VariablesInternes[Fonction],B62,VariablesInternes[FP Commune])</f>
        <v>0</v>
      </c>
      <c r="G62" s="154">
        <f t="shared" ref="G62:G65" si="3">SUM(C62:F62)</f>
        <v>0</v>
      </c>
      <c r="H62" s="97"/>
      <c r="I62" s="97"/>
      <c r="J62" s="97"/>
      <c r="K62" s="98"/>
    </row>
    <row r="63" spans="2:11" x14ac:dyDescent="0.25">
      <c r="B63" s="150" t="s">
        <v>628</v>
      </c>
      <c r="C63" s="151">
        <f>SUMIF(VariablesInternes[Fonction],B63,VariablesInternes[FF])</f>
        <v>0</v>
      </c>
      <c r="D63" s="151"/>
      <c r="E63" s="151">
        <f>SUMIF(VariablesInternes[Fonction],B63,VariablesInternes[FP SAS])</f>
        <v>0</v>
      </c>
      <c r="F63" s="151">
        <f>SUMIF(VariablesInternes[Fonction],B63,VariablesInternes[FP Commune])</f>
        <v>0</v>
      </c>
      <c r="G63" s="154">
        <f t="shared" si="3"/>
        <v>0</v>
      </c>
      <c r="H63" s="97"/>
      <c r="I63" s="97"/>
      <c r="J63" s="97"/>
      <c r="K63" s="98"/>
    </row>
    <row r="64" spans="2:11" x14ac:dyDescent="0.25">
      <c r="B64" s="150" t="s">
        <v>629</v>
      </c>
      <c r="C64" s="151">
        <f>SUMIF(VariablesInternes[Fonction],B64,VariablesInternes[FF])</f>
        <v>0</v>
      </c>
      <c r="D64" s="151"/>
      <c r="E64" s="151">
        <f>SUMIF(VariablesInternes[Fonction],B64,VariablesInternes[FP SAS])</f>
        <v>0</v>
      </c>
      <c r="F64" s="151">
        <f>SUMIF(VariablesInternes[Fonction],B64,VariablesInternes[FP Commune])</f>
        <v>0</v>
      </c>
      <c r="G64" s="154">
        <f t="shared" si="3"/>
        <v>0</v>
      </c>
      <c r="H64" s="97"/>
      <c r="I64" s="97"/>
      <c r="J64" s="97"/>
      <c r="K64" s="98"/>
    </row>
    <row r="65" spans="2:11" x14ac:dyDescent="0.25">
      <c r="B65" s="99" t="s">
        <v>657</v>
      </c>
      <c r="C65" s="151">
        <f>SUMIF(VariablesInternes[Fonction],B65,VariablesInternes[FF])</f>
        <v>0</v>
      </c>
      <c r="D65" s="151"/>
      <c r="E65" s="151"/>
      <c r="F65" s="151"/>
      <c r="G65" s="154">
        <f t="shared" si="3"/>
        <v>0</v>
      </c>
      <c r="H65" s="97"/>
      <c r="I65" s="97"/>
      <c r="J65" s="97"/>
      <c r="K65" s="98"/>
    </row>
    <row r="66" spans="2:11" x14ac:dyDescent="0.25">
      <c r="B66" s="143" t="s">
        <v>436</v>
      </c>
      <c r="C66" s="141">
        <f>SUM(C42:C65)</f>
        <v>0</v>
      </c>
      <c r="D66" s="141"/>
      <c r="E66" s="141">
        <f>SUM(E42:E65)</f>
        <v>0</v>
      </c>
      <c r="F66" s="141">
        <f>SUM(F42:F65)</f>
        <v>0</v>
      </c>
      <c r="G66" s="142">
        <f>SUM(G42:G65)</f>
        <v>0</v>
      </c>
      <c r="H66" s="78"/>
      <c r="I66" s="78"/>
      <c r="J66" s="78"/>
      <c r="K66" s="100"/>
    </row>
    <row r="67" spans="2:11" x14ac:dyDescent="0.25">
      <c r="B67" s="140" t="s">
        <v>446</v>
      </c>
      <c r="C67" s="155"/>
      <c r="D67" s="155"/>
      <c r="E67" s="155"/>
      <c r="F67" s="155"/>
      <c r="G67" s="155"/>
      <c r="H67" s="155"/>
      <c r="I67" s="155"/>
      <c r="J67" s="155"/>
      <c r="K67" s="145"/>
    </row>
    <row r="68" spans="2:11" x14ac:dyDescent="0.25">
      <c r="B68" s="115" t="s">
        <v>447</v>
      </c>
      <c r="C68" s="129">
        <f>F29*6</f>
        <v>0</v>
      </c>
      <c r="D68" s="97"/>
      <c r="E68" s="93" t="s">
        <v>455</v>
      </c>
      <c r="F68" s="562">
        <f>'Informations générales 3'!C31</f>
        <v>0</v>
      </c>
      <c r="G68" s="93" t="s">
        <v>456</v>
      </c>
      <c r="H68" s="108">
        <f>K29</f>
        <v>0</v>
      </c>
      <c r="I68" s="94"/>
      <c r="J68" s="125" t="s">
        <v>465</v>
      </c>
      <c r="K68" s="164">
        <f>K32</f>
        <v>0</v>
      </c>
    </row>
    <row r="69" spans="2:11" x14ac:dyDescent="0.25">
      <c r="B69" s="96" t="s">
        <v>448</v>
      </c>
      <c r="C69" s="157">
        <f>C66-C65-C61</f>
        <v>0</v>
      </c>
      <c r="D69" s="97"/>
      <c r="E69" s="96" t="s">
        <v>427</v>
      </c>
      <c r="F69" s="563">
        <f>K23</f>
        <v>0</v>
      </c>
      <c r="G69" s="96" t="s">
        <v>457</v>
      </c>
      <c r="H69" s="110">
        <f>K30</f>
        <v>0</v>
      </c>
      <c r="I69" s="97"/>
      <c r="J69" s="97" t="s">
        <v>466</v>
      </c>
      <c r="K69" s="156">
        <f>C61</f>
        <v>0</v>
      </c>
    </row>
    <row r="70" spans="2:11" x14ac:dyDescent="0.25">
      <c r="B70" s="96" t="s">
        <v>449</v>
      </c>
      <c r="C70" s="157">
        <f>(E66+F66)-E42-F42-E61-F61</f>
        <v>0</v>
      </c>
      <c r="D70" s="97"/>
      <c r="E70" s="96" t="s">
        <v>454</v>
      </c>
      <c r="F70" s="563">
        <f>K25</f>
        <v>0</v>
      </c>
      <c r="G70" s="315" t="s">
        <v>438</v>
      </c>
      <c r="H70" s="129">
        <f>'Informations générales 3'!C36</f>
        <v>0</v>
      </c>
      <c r="I70" s="97"/>
      <c r="J70" s="97"/>
      <c r="K70" s="98"/>
    </row>
    <row r="71" spans="2:11" x14ac:dyDescent="0.25">
      <c r="B71" s="96" t="s">
        <v>521</v>
      </c>
      <c r="C71" s="157">
        <f>-SUM(C80:C82)-C84</f>
        <v>0</v>
      </c>
      <c r="D71" s="97"/>
      <c r="E71" s="115" t="s">
        <v>464</v>
      </c>
      <c r="F71" s="127">
        <f>SUM(F68:F70)</f>
        <v>0</v>
      </c>
      <c r="G71" s="115" t="s">
        <v>498</v>
      </c>
      <c r="H71" s="129">
        <f>SUM(H68:H70)</f>
        <v>0</v>
      </c>
      <c r="I71" s="97"/>
      <c r="J71" s="97"/>
      <c r="K71" s="98"/>
    </row>
    <row r="72" spans="2:11" x14ac:dyDescent="0.25">
      <c r="B72" s="96" t="s">
        <v>450</v>
      </c>
      <c r="C72" s="157">
        <f>SUM(C69:C71)</f>
        <v>0</v>
      </c>
      <c r="D72" s="97"/>
      <c r="E72" s="96" t="s">
        <v>436</v>
      </c>
      <c r="F72" s="123">
        <f>C36</f>
        <v>0</v>
      </c>
      <c r="G72" s="96" t="s">
        <v>461</v>
      </c>
      <c r="H72" s="110">
        <f>F36</f>
        <v>0</v>
      </c>
      <c r="I72" s="97"/>
      <c r="J72" s="97"/>
      <c r="K72" s="98"/>
    </row>
    <row r="73" spans="2:11" x14ac:dyDescent="0.25">
      <c r="B73" s="96"/>
      <c r="C73" s="97"/>
      <c r="D73" s="97"/>
      <c r="E73" s="115" t="s">
        <v>452</v>
      </c>
      <c r="F73" s="137">
        <f>IF(F72-F71&lt;0,0,F72-F71)</f>
        <v>0</v>
      </c>
      <c r="G73" s="115" t="s">
        <v>462</v>
      </c>
      <c r="H73" s="158">
        <f>IF(H72-H71&lt;0,0,H72-H71)</f>
        <v>0</v>
      </c>
      <c r="I73" s="97"/>
      <c r="J73" s="106"/>
      <c r="K73" s="138"/>
    </row>
    <row r="74" spans="2:11" ht="15" customHeight="1" x14ac:dyDescent="0.25">
      <c r="B74" s="159" t="s">
        <v>451</v>
      </c>
      <c r="C74" s="160">
        <f>IF(C72-C68&lt;0,0,C72-C68)</f>
        <v>0</v>
      </c>
      <c r="D74" s="78"/>
      <c r="E74" s="159" t="s">
        <v>453</v>
      </c>
      <c r="F74" s="163">
        <f>IF(F73=0,0,(K42/F72)*F73)</f>
        <v>0</v>
      </c>
      <c r="G74" s="159" t="s">
        <v>463</v>
      </c>
      <c r="H74" s="139">
        <f>IF(H73=0,0,(SUM(E61:F61)/H72)*H73)</f>
        <v>0</v>
      </c>
      <c r="I74" s="161"/>
      <c r="J74" s="161" t="s">
        <v>467</v>
      </c>
      <c r="K74" s="162">
        <f>IF(K69&gt;K68,K69-K68,0)</f>
        <v>0</v>
      </c>
    </row>
    <row r="75" spans="2:11" x14ac:dyDescent="0.25">
      <c r="B75" s="140" t="s">
        <v>469</v>
      </c>
      <c r="C75" s="155"/>
      <c r="D75" s="155"/>
      <c r="E75" s="155"/>
      <c r="F75" s="155"/>
      <c r="G75" s="155"/>
      <c r="H75" s="155"/>
      <c r="I75" s="155"/>
      <c r="J75" s="155"/>
      <c r="K75" s="145"/>
    </row>
    <row r="76" spans="2:11" x14ac:dyDescent="0.25">
      <c r="B76" s="165" t="s">
        <v>391</v>
      </c>
      <c r="C76" s="166" t="s">
        <v>90</v>
      </c>
      <c r="D76" s="94"/>
      <c r="E76" s="94"/>
      <c r="F76" s="94"/>
      <c r="G76" s="94"/>
      <c r="H76" s="94"/>
      <c r="I76" s="94"/>
      <c r="J76" s="94"/>
      <c r="K76" s="95"/>
    </row>
    <row r="77" spans="2:11" x14ac:dyDescent="0.25">
      <c r="B77" s="96" t="s">
        <v>397</v>
      </c>
      <c r="C77" s="156">
        <f>SUMIF(RecettesInterne[Fonction],B77,RecettesInterne[Recettes])</f>
        <v>0</v>
      </c>
      <c r="D77" s="97"/>
      <c r="E77" s="97"/>
      <c r="F77" s="97"/>
      <c r="G77" s="97"/>
      <c r="H77" s="97"/>
      <c r="I77" s="97"/>
      <c r="J77" s="97"/>
      <c r="K77" s="98"/>
    </row>
    <row r="78" spans="2:11" x14ac:dyDescent="0.25">
      <c r="B78" s="96" t="s">
        <v>398</v>
      </c>
      <c r="C78" s="156">
        <f>SUMIF(RecettesInterne[Fonction],B78,RecettesInterne[Recettes])</f>
        <v>0</v>
      </c>
      <c r="D78" s="97"/>
      <c r="E78" s="97"/>
      <c r="F78" s="97"/>
      <c r="G78" s="97"/>
      <c r="H78" s="97"/>
      <c r="I78" s="97"/>
      <c r="J78" s="97"/>
      <c r="K78" s="98"/>
    </row>
    <row r="79" spans="2:11" x14ac:dyDescent="0.25">
      <c r="B79" s="96" t="s">
        <v>399</v>
      </c>
      <c r="C79" s="156">
        <f>SUMIF(RecettesInterne[Fonction],B79,RecettesInterne[Recettes])</f>
        <v>0</v>
      </c>
      <c r="D79" s="97"/>
      <c r="E79" s="97"/>
      <c r="F79" s="97"/>
      <c r="G79" s="97"/>
      <c r="H79" s="97"/>
      <c r="I79" s="97"/>
      <c r="J79" s="97"/>
      <c r="K79" s="98"/>
    </row>
    <row r="80" spans="2:11" x14ac:dyDescent="0.25">
      <c r="B80" s="96" t="s">
        <v>400</v>
      </c>
      <c r="C80" s="156">
        <f>SUMIF(RecettesInterne[Fonction],B80,RecettesInterne[Recettes])</f>
        <v>0</v>
      </c>
      <c r="D80" s="97"/>
      <c r="E80" s="97"/>
      <c r="F80" s="97"/>
      <c r="G80" s="97"/>
      <c r="H80" s="97"/>
      <c r="I80" s="97"/>
      <c r="J80" s="97"/>
      <c r="K80" s="98"/>
    </row>
    <row r="81" spans="2:15" x14ac:dyDescent="0.25">
      <c r="B81" s="96" t="s">
        <v>401</v>
      </c>
      <c r="C81" s="156">
        <f>SUMIF(RecettesInterne[Fonction],B81,RecettesInterne[Recettes])</f>
        <v>0</v>
      </c>
      <c r="D81" s="97"/>
      <c r="E81" s="97"/>
      <c r="F81" s="97"/>
      <c r="G81" s="97"/>
      <c r="H81" s="97"/>
      <c r="I81" s="97"/>
      <c r="J81" s="97"/>
      <c r="K81" s="98"/>
    </row>
    <row r="82" spans="2:15" x14ac:dyDescent="0.25">
      <c r="B82" s="96" t="s">
        <v>109</v>
      </c>
      <c r="C82" s="156">
        <f>SUMIF(RecettesInterne[Fonction],B82,RecettesInterne[Recettes])</f>
        <v>0</v>
      </c>
      <c r="D82" s="97"/>
      <c r="E82" s="97"/>
      <c r="F82" s="97"/>
      <c r="G82" s="97"/>
      <c r="H82" s="97"/>
      <c r="I82" s="97"/>
      <c r="J82" s="97"/>
      <c r="K82" s="98"/>
      <c r="O82" s="79"/>
    </row>
    <row r="83" spans="2:15" x14ac:dyDescent="0.25">
      <c r="B83" s="96" t="s">
        <v>610</v>
      </c>
      <c r="C83" s="156">
        <f>SUMIF(RecettesInterne[Fonction],B83,RecettesInterne[Recettes])</f>
        <v>0</v>
      </c>
      <c r="D83" s="97"/>
      <c r="E83" s="97"/>
      <c r="F83" s="97"/>
      <c r="G83" s="97"/>
      <c r="H83" s="97"/>
      <c r="I83" s="97"/>
      <c r="J83" s="97"/>
      <c r="K83" s="98"/>
    </row>
    <row r="84" spans="2:15" x14ac:dyDescent="0.25">
      <c r="B84" s="96" t="s">
        <v>631</v>
      </c>
      <c r="C84" s="156">
        <f>SUMIF(RecettesInterne[Fonction],B84,RecettesInterne[Recettes])</f>
        <v>0</v>
      </c>
      <c r="D84" s="97"/>
      <c r="E84" s="97"/>
      <c r="F84" s="97"/>
      <c r="G84" s="97"/>
      <c r="H84" s="97"/>
      <c r="I84" s="97"/>
      <c r="J84" s="97"/>
      <c r="K84" s="98"/>
    </row>
    <row r="85" spans="2:15" x14ac:dyDescent="0.25">
      <c r="B85" s="96" t="s">
        <v>200</v>
      </c>
      <c r="C85" s="156">
        <f>SUMIF(RecettesInterne[Fonction],B85,RecettesInterne[Recettes])</f>
        <v>0</v>
      </c>
      <c r="D85" s="97"/>
      <c r="E85" s="97"/>
      <c r="F85" s="97"/>
      <c r="G85" s="97"/>
      <c r="H85" s="97"/>
      <c r="I85" s="97"/>
      <c r="J85" s="97"/>
      <c r="K85" s="98"/>
    </row>
    <row r="86" spans="2:15" x14ac:dyDescent="0.25">
      <c r="B86" s="140" t="s">
        <v>31</v>
      </c>
      <c r="C86" s="142">
        <f>SUM(C77:C85)</f>
        <v>0</v>
      </c>
      <c r="D86" s="78"/>
      <c r="E86" s="78"/>
      <c r="F86" s="78"/>
      <c r="G86" s="78"/>
      <c r="H86" s="78"/>
      <c r="I86" s="78"/>
      <c r="J86" s="78"/>
      <c r="K86" s="100"/>
    </row>
    <row r="87" spans="2:15" x14ac:dyDescent="0.25">
      <c r="B87" s="140" t="s">
        <v>485</v>
      </c>
      <c r="C87" s="133"/>
      <c r="D87" s="133"/>
      <c r="E87" s="133"/>
      <c r="F87" s="133"/>
      <c r="G87" s="133"/>
      <c r="H87" s="133"/>
      <c r="I87" s="133"/>
      <c r="J87" s="133"/>
      <c r="K87" s="134"/>
    </row>
    <row r="88" spans="2:15" x14ac:dyDescent="0.25">
      <c r="B88" s="144" t="s">
        <v>254</v>
      </c>
      <c r="C88" s="144" t="s">
        <v>442</v>
      </c>
      <c r="D88" s="145"/>
      <c r="E88" s="146" t="s">
        <v>443</v>
      </c>
      <c r="F88" s="147" t="s">
        <v>359</v>
      </c>
      <c r="G88" s="147" t="s">
        <v>505</v>
      </c>
      <c r="H88" s="94"/>
      <c r="I88" s="94"/>
      <c r="J88" s="94"/>
      <c r="K88" s="95"/>
    </row>
    <row r="89" spans="2:15" x14ac:dyDescent="0.25">
      <c r="B89" s="148" t="s">
        <v>93</v>
      </c>
      <c r="C89" s="149">
        <f t="shared" ref="C89:C100" si="4">IF($C$74=0,0,$C$74*(C42/$C$72))</f>
        <v>0</v>
      </c>
      <c r="D89" s="149"/>
      <c r="E89" s="149">
        <f>IF($F$74=0,0,$F$74*(E42/$K$42))</f>
        <v>0</v>
      </c>
      <c r="F89" s="149">
        <f>IF($F$74=0,0,$F$74*(F42/$K$42))</f>
        <v>0</v>
      </c>
      <c r="G89" s="153">
        <f>SUM(C89:F89)</f>
        <v>0</v>
      </c>
      <c r="H89" s="97"/>
      <c r="I89" s="97"/>
      <c r="J89" s="97"/>
      <c r="K89" s="98"/>
    </row>
    <row r="90" spans="2:15" x14ac:dyDescent="0.25">
      <c r="B90" s="150" t="s">
        <v>94</v>
      </c>
      <c r="C90" s="151">
        <f t="shared" si="4"/>
        <v>0</v>
      </c>
      <c r="D90" s="151"/>
      <c r="E90" s="151">
        <f t="shared" ref="E90:F90" si="5">IF($C$74=0,0,$C$74*(E43/$C$72))</f>
        <v>0</v>
      </c>
      <c r="F90" s="151">
        <f t="shared" si="5"/>
        <v>0</v>
      </c>
      <c r="G90" s="154">
        <f t="shared" ref="G90:G111" si="6">SUM(C90:F90)</f>
        <v>0</v>
      </c>
      <c r="H90" s="97"/>
      <c r="I90" s="97"/>
      <c r="J90" s="97"/>
      <c r="K90" s="98"/>
    </row>
    <row r="91" spans="2:15" x14ac:dyDescent="0.25">
      <c r="B91" s="150" t="s">
        <v>95</v>
      </c>
      <c r="C91" s="151">
        <f t="shared" si="4"/>
        <v>0</v>
      </c>
      <c r="D91" s="151"/>
      <c r="E91" s="151">
        <f t="shared" ref="E91:F91" si="7">IF($C$74=0,0,$C$74*(E44/$C$72))</f>
        <v>0</v>
      </c>
      <c r="F91" s="151">
        <f t="shared" si="7"/>
        <v>0</v>
      </c>
      <c r="G91" s="154">
        <f t="shared" si="6"/>
        <v>0</v>
      </c>
      <c r="H91" s="97"/>
      <c r="I91" s="97"/>
      <c r="J91" s="97"/>
      <c r="K91" s="98"/>
    </row>
    <row r="92" spans="2:15" x14ac:dyDescent="0.25">
      <c r="B92" s="150" t="s">
        <v>96</v>
      </c>
      <c r="C92" s="151">
        <f t="shared" si="4"/>
        <v>0</v>
      </c>
      <c r="D92" s="151"/>
      <c r="E92" s="151">
        <f t="shared" ref="E92:F92" si="8">IF($C$74=0,0,$C$74*(E45/$C$72))</f>
        <v>0</v>
      </c>
      <c r="F92" s="151">
        <f t="shared" si="8"/>
        <v>0</v>
      </c>
      <c r="G92" s="154">
        <f t="shared" si="6"/>
        <v>0</v>
      </c>
      <c r="H92" s="97"/>
      <c r="I92" s="97"/>
      <c r="J92" s="97"/>
      <c r="K92" s="98"/>
    </row>
    <row r="93" spans="2:15" x14ac:dyDescent="0.25">
      <c r="B93" s="150" t="s">
        <v>97</v>
      </c>
      <c r="C93" s="151">
        <f t="shared" si="4"/>
        <v>0</v>
      </c>
      <c r="D93" s="151"/>
      <c r="E93" s="151">
        <f t="shared" ref="E93:F93" si="9">IF($C$74=0,0,$C$74*(E46/$C$72))</f>
        <v>0</v>
      </c>
      <c r="F93" s="151">
        <f t="shared" si="9"/>
        <v>0</v>
      </c>
      <c r="G93" s="154">
        <f t="shared" si="6"/>
        <v>0</v>
      </c>
      <c r="H93" s="97"/>
      <c r="I93" s="97"/>
      <c r="J93" s="97"/>
      <c r="K93" s="98"/>
    </row>
    <row r="94" spans="2:15" x14ac:dyDescent="0.25">
      <c r="B94" s="150" t="s">
        <v>111</v>
      </c>
      <c r="C94" s="151">
        <f t="shared" si="4"/>
        <v>0</v>
      </c>
      <c r="D94" s="151"/>
      <c r="E94" s="151">
        <f t="shared" ref="E94:F94" si="10">IF($C$74=0,0,$C$74*(E47/$C$72))</f>
        <v>0</v>
      </c>
      <c r="F94" s="151">
        <f t="shared" si="10"/>
        <v>0</v>
      </c>
      <c r="G94" s="154">
        <f t="shared" si="6"/>
        <v>0</v>
      </c>
      <c r="H94" s="97"/>
      <c r="I94" s="97"/>
      <c r="J94" s="97"/>
      <c r="K94" s="98"/>
    </row>
    <row r="95" spans="2:15" x14ac:dyDescent="0.25">
      <c r="B95" s="150" t="s">
        <v>98</v>
      </c>
      <c r="C95" s="151">
        <f t="shared" si="4"/>
        <v>0</v>
      </c>
      <c r="D95" s="151"/>
      <c r="E95" s="151">
        <f t="shared" ref="E95:F95" si="11">IF($C$74=0,0,$C$74*(E48/$C$72))</f>
        <v>0</v>
      </c>
      <c r="F95" s="151">
        <f t="shared" si="11"/>
        <v>0</v>
      </c>
      <c r="G95" s="154">
        <f t="shared" si="6"/>
        <v>0</v>
      </c>
      <c r="H95" s="97"/>
      <c r="I95" s="97"/>
      <c r="J95" s="97"/>
      <c r="K95" s="98"/>
    </row>
    <row r="96" spans="2:15" x14ac:dyDescent="0.25">
      <c r="B96" s="150" t="s">
        <v>99</v>
      </c>
      <c r="C96" s="151">
        <f t="shared" si="4"/>
        <v>0</v>
      </c>
      <c r="D96" s="151"/>
      <c r="E96" s="151">
        <f t="shared" ref="E96:F96" si="12">IF($C$74=0,0,$C$74*(E49/$C$72))</f>
        <v>0</v>
      </c>
      <c r="F96" s="151">
        <f t="shared" si="12"/>
        <v>0</v>
      </c>
      <c r="G96" s="154">
        <f t="shared" si="6"/>
        <v>0</v>
      </c>
      <c r="H96" s="97"/>
      <c r="I96" s="97"/>
      <c r="J96" s="97"/>
      <c r="K96" s="98"/>
    </row>
    <row r="97" spans="2:11" x14ac:dyDescent="0.25">
      <c r="B97" s="150" t="s">
        <v>100</v>
      </c>
      <c r="C97" s="151">
        <f t="shared" si="4"/>
        <v>0</v>
      </c>
      <c r="D97" s="151"/>
      <c r="E97" s="151">
        <f t="shared" ref="E97:F97" si="13">IF($C$74=0,0,$C$74*(E50/$C$72))</f>
        <v>0</v>
      </c>
      <c r="F97" s="151">
        <f t="shared" si="13"/>
        <v>0</v>
      </c>
      <c r="G97" s="154">
        <f t="shared" si="6"/>
        <v>0</v>
      </c>
      <c r="H97" s="97"/>
      <c r="I97" s="97"/>
      <c r="J97" s="97"/>
      <c r="K97" s="98"/>
    </row>
    <row r="98" spans="2:11" x14ac:dyDescent="0.25">
      <c r="B98" s="150" t="s">
        <v>101</v>
      </c>
      <c r="C98" s="151">
        <f t="shared" si="4"/>
        <v>0</v>
      </c>
      <c r="D98" s="151"/>
      <c r="E98" s="151">
        <f t="shared" ref="E98:F98" si="14">IF($C$74=0,0,$C$74*(E51/$C$72))</f>
        <v>0</v>
      </c>
      <c r="F98" s="151">
        <f t="shared" si="14"/>
        <v>0</v>
      </c>
      <c r="G98" s="154">
        <f t="shared" si="6"/>
        <v>0</v>
      </c>
      <c r="H98" s="97"/>
      <c r="I98" s="97"/>
      <c r="J98" s="97"/>
      <c r="K98" s="98"/>
    </row>
    <row r="99" spans="2:11" x14ac:dyDescent="0.25">
      <c r="B99" s="150" t="s">
        <v>102</v>
      </c>
      <c r="C99" s="151">
        <f t="shared" si="4"/>
        <v>0</v>
      </c>
      <c r="D99" s="151"/>
      <c r="E99" s="151">
        <f t="shared" ref="E99:F99" si="15">IF($C$74=0,0,$C$74*(E52/$C$72))</f>
        <v>0</v>
      </c>
      <c r="F99" s="151">
        <f t="shared" si="15"/>
        <v>0</v>
      </c>
      <c r="G99" s="154">
        <f t="shared" si="6"/>
        <v>0</v>
      </c>
      <c r="H99" s="97"/>
      <c r="I99" s="97"/>
      <c r="J99" s="97"/>
      <c r="K99" s="98"/>
    </row>
    <row r="100" spans="2:11" x14ac:dyDescent="0.25">
      <c r="B100" s="150" t="s">
        <v>103</v>
      </c>
      <c r="C100" s="151">
        <f t="shared" si="4"/>
        <v>0</v>
      </c>
      <c r="D100" s="151"/>
      <c r="E100" s="151">
        <f t="shared" ref="E100:F100" si="16">IF($C$74=0,0,$C$74*(E53/$C$72))</f>
        <v>0</v>
      </c>
      <c r="F100" s="151">
        <f t="shared" si="16"/>
        <v>0</v>
      </c>
      <c r="G100" s="154">
        <f t="shared" si="6"/>
        <v>0</v>
      </c>
      <c r="H100" s="97"/>
      <c r="I100" s="97"/>
      <c r="J100" s="97"/>
      <c r="K100" s="98"/>
    </row>
    <row r="101" spans="2:11" x14ac:dyDescent="0.25">
      <c r="B101" s="150" t="s">
        <v>638</v>
      </c>
      <c r="C101" s="151">
        <f>IF($C$74=0,0,$C$74*(C54/$C$72))</f>
        <v>0</v>
      </c>
      <c r="D101" s="151"/>
      <c r="E101" s="151">
        <f>IF($C$74=0,0,$C$74*(E54/$C$72))</f>
        <v>0</v>
      </c>
      <c r="F101" s="151">
        <f t="shared" ref="F101" si="17">IF($C$74=0,0,$C$74*(F54/$C$72))</f>
        <v>0</v>
      </c>
      <c r="G101" s="154">
        <f t="shared" si="6"/>
        <v>0</v>
      </c>
      <c r="H101" s="97"/>
      <c r="I101" s="97"/>
      <c r="J101" s="97"/>
      <c r="K101" s="98"/>
    </row>
    <row r="102" spans="2:11" x14ac:dyDescent="0.25">
      <c r="B102" s="150" t="s">
        <v>637</v>
      </c>
      <c r="C102" s="151">
        <f>IF($C$74=0,0,IF($G$55=0,0,$C$74*((C55-($C$84*((C55/$G$55))))/$C$72)))</f>
        <v>0</v>
      </c>
      <c r="D102" s="151"/>
      <c r="E102" s="506"/>
      <c r="F102" s="506"/>
      <c r="G102" s="154">
        <f t="shared" si="6"/>
        <v>0</v>
      </c>
      <c r="H102" s="97"/>
      <c r="I102" s="97"/>
      <c r="J102" s="97"/>
      <c r="K102" s="98"/>
    </row>
    <row r="103" spans="2:11" x14ac:dyDescent="0.25">
      <c r="B103" s="150" t="s">
        <v>105</v>
      </c>
      <c r="C103" s="151">
        <f>IF($C$74=0,0,IF(SUM($G$56:$G$57)=0,0,$C$74*((C56-($C$80*((C56/SUM($G$56:$G$57)))))/$C$72)))</f>
        <v>0</v>
      </c>
      <c r="D103" s="151"/>
      <c r="E103" s="151">
        <f>IF($C$74=0,0,IF(SUM($G$56:$G$57)=0,0,$C$74*((E56-($C$80*((E56/SUM($G$56:$G$57)))))/$C$72)))</f>
        <v>0</v>
      </c>
      <c r="F103" s="151">
        <f>IF($C$74=0,0,IF(SUM($G$56:$G$57)=0,0,$C$74*((F56-($C$80*((F56/SUM($G$56:$G$57)))))/$C$72)))</f>
        <v>0</v>
      </c>
      <c r="G103" s="154">
        <f>SUM(C103:F103)</f>
        <v>0</v>
      </c>
      <c r="H103" s="97"/>
      <c r="I103" s="97"/>
      <c r="J103" s="97"/>
      <c r="K103" s="98"/>
    </row>
    <row r="104" spans="2:11" x14ac:dyDescent="0.25">
      <c r="B104" s="150" t="s">
        <v>106</v>
      </c>
      <c r="C104" s="151">
        <f>IF($C$74=0,0,IF(SUM($G$56:$G$57)=0,0,$C$74*((C57-($C$80*((C57/SUM($G$56:$G$57)))))/$C$72)))</f>
        <v>0</v>
      </c>
      <c r="D104" s="151"/>
      <c r="E104" s="506"/>
      <c r="F104" s="506"/>
      <c r="G104" s="154">
        <f t="shared" si="6"/>
        <v>0</v>
      </c>
      <c r="H104" s="97"/>
      <c r="I104" s="97"/>
      <c r="J104" s="97"/>
      <c r="K104" s="98"/>
    </row>
    <row r="105" spans="2:11" x14ac:dyDescent="0.25">
      <c r="B105" s="150" t="s">
        <v>107</v>
      </c>
      <c r="C105" s="151">
        <f>IF($C$74=0,0,IF(SUM($G$58:$G$59)=0,0,$C$74*((C58-($C$81*((C58/SUM($G$58:$G$59)))))/$C$72)))</f>
        <v>0</v>
      </c>
      <c r="D105" s="151"/>
      <c r="E105" s="151">
        <f>IF($C$74=0,0,IF(SUM($G$58:$G$59)=0,0,$C$74*((E58-($C$81*((E58/SUM($G$58:$G$59)))))/$C$72)))</f>
        <v>0</v>
      </c>
      <c r="F105" s="151">
        <f>IF($C$74=0,0,IF(SUM($G$58:$G$59)=0,0,$C$74*((F58-($C$81*((F58/SUM($G$58:$G$59)))))/$C$72)))</f>
        <v>0</v>
      </c>
      <c r="G105" s="154">
        <f>SUM(C105:F105)</f>
        <v>0</v>
      </c>
      <c r="H105" s="97"/>
      <c r="I105" s="97"/>
      <c r="J105" s="97"/>
      <c r="K105" s="98"/>
    </row>
    <row r="106" spans="2:11" x14ac:dyDescent="0.25">
      <c r="B106" s="150" t="s">
        <v>108</v>
      </c>
      <c r="C106" s="151">
        <f>IF($C$74=0,0,IF(SUM($G$58:$G$59)=0,0,$C$74*((C59-($C$81*((C59/SUM($G$58:$G$59)))))/$C$72)))</f>
        <v>0</v>
      </c>
      <c r="D106" s="151"/>
      <c r="E106" s="506"/>
      <c r="F106" s="507"/>
      <c r="G106" s="154">
        <f t="shared" si="6"/>
        <v>0</v>
      </c>
      <c r="H106" s="97"/>
      <c r="I106" s="97"/>
      <c r="J106" s="97"/>
      <c r="K106" s="98"/>
    </row>
    <row r="107" spans="2:11" x14ac:dyDescent="0.25">
      <c r="B107" s="150" t="s">
        <v>109</v>
      </c>
      <c r="C107" s="151">
        <f>IF($C$74=0,0,IF($G$60=0,0,$C$74*((C60-($C$82*((C60/$G$60))))/$C$72)))</f>
        <v>0</v>
      </c>
      <c r="D107" s="151"/>
      <c r="E107" s="151">
        <f>IF($C$74=0,0,IF($G$60=0,0,$C$74*((E60-($C$82*((E60/$G$60))))/$C$72)))</f>
        <v>0</v>
      </c>
      <c r="F107" s="151">
        <f>IF($C$74=0,0,IF($G$60=0,0,$C$74*((F60-($C$82*((F60/$G$60))))/$C$72)))</f>
        <v>0</v>
      </c>
      <c r="G107" s="154">
        <f t="shared" si="6"/>
        <v>0</v>
      </c>
      <c r="H107" s="97"/>
      <c r="I107" s="97"/>
      <c r="J107" s="97"/>
      <c r="K107" s="98"/>
    </row>
    <row r="108" spans="2:11" x14ac:dyDescent="0.25">
      <c r="B108" s="150" t="s">
        <v>610</v>
      </c>
      <c r="C108" s="151">
        <f>IF(K74=0,0,K74-C83)</f>
        <v>0</v>
      </c>
      <c r="D108" s="151"/>
      <c r="E108" s="149">
        <f>IF($H$74=0,0,$H$74*(E61/$K$44))</f>
        <v>0</v>
      </c>
      <c r="F108" s="149">
        <f>IF($H$74=0,0,$H$74*(F61/$K$44))</f>
        <v>0</v>
      </c>
      <c r="G108" s="154">
        <f t="shared" si="6"/>
        <v>0</v>
      </c>
      <c r="H108" s="97"/>
      <c r="I108" s="97"/>
      <c r="J108" s="97"/>
      <c r="K108" s="98"/>
    </row>
    <row r="109" spans="2:11" x14ac:dyDescent="0.25">
      <c r="B109" s="150" t="s">
        <v>627</v>
      </c>
      <c r="C109" s="151">
        <f>IF($C$74=0,0,$C$74*(C62/$C$72))</f>
        <v>0</v>
      </c>
      <c r="D109" s="151"/>
      <c r="E109" s="151">
        <f t="shared" ref="E109:F109" si="18">IF($C$74=0,0,$C$74*(E62/$C$72))</f>
        <v>0</v>
      </c>
      <c r="F109" s="151">
        <f t="shared" si="18"/>
        <v>0</v>
      </c>
      <c r="G109" s="154">
        <f t="shared" si="6"/>
        <v>0</v>
      </c>
      <c r="H109" s="97"/>
      <c r="I109" s="97"/>
      <c r="J109" s="97"/>
      <c r="K109" s="98"/>
    </row>
    <row r="110" spans="2:11" x14ac:dyDescent="0.25">
      <c r="B110" s="150" t="s">
        <v>628</v>
      </c>
      <c r="C110" s="151">
        <f t="shared" ref="C110:C111" si="19">IF($C$74=0,0,$C$74*(C63/$C$72))</f>
        <v>0</v>
      </c>
      <c r="D110" s="151"/>
      <c r="E110" s="151">
        <f t="shared" ref="E110:F110" si="20">IF($C$74=0,0,$C$74*(E63/$C$72))</f>
        <v>0</v>
      </c>
      <c r="F110" s="151">
        <f t="shared" si="20"/>
        <v>0</v>
      </c>
      <c r="G110" s="154">
        <f t="shared" si="6"/>
        <v>0</v>
      </c>
      <c r="H110" s="97"/>
      <c r="I110" s="97"/>
      <c r="J110" s="97"/>
      <c r="K110" s="98"/>
    </row>
    <row r="111" spans="2:11" x14ac:dyDescent="0.25">
      <c r="B111" s="99" t="s">
        <v>629</v>
      </c>
      <c r="C111" s="151">
        <f t="shared" si="19"/>
        <v>0</v>
      </c>
      <c r="D111" s="151"/>
      <c r="E111" s="151">
        <f t="shared" ref="E111:F111" si="21">IF($C$74=0,0,$C$74*(E64/$C$72))</f>
        <v>0</v>
      </c>
      <c r="F111" s="151">
        <f t="shared" si="21"/>
        <v>0</v>
      </c>
      <c r="G111" s="154">
        <f t="shared" si="6"/>
        <v>0</v>
      </c>
      <c r="H111" s="97"/>
      <c r="I111" s="97"/>
      <c r="J111" s="97"/>
      <c r="K111" s="98"/>
    </row>
    <row r="112" spans="2:11" x14ac:dyDescent="0.25">
      <c r="B112" s="143" t="s">
        <v>31</v>
      </c>
      <c r="C112" s="141">
        <f>SUM(C89:C111)</f>
        <v>0</v>
      </c>
      <c r="D112" s="141">
        <f t="shared" ref="D112:G112" si="22">SUM(D89:D111)</f>
        <v>0</v>
      </c>
      <c r="E112" s="141">
        <f>SUM(E89:E111)</f>
        <v>0</v>
      </c>
      <c r="F112" s="141">
        <f t="shared" si="22"/>
        <v>0</v>
      </c>
      <c r="G112" s="141">
        <f t="shared" si="22"/>
        <v>0</v>
      </c>
      <c r="H112" s="97"/>
      <c r="I112" s="97"/>
      <c r="J112" s="97"/>
      <c r="K112" s="98"/>
    </row>
    <row r="113" spans="1:11" x14ac:dyDescent="0.25">
      <c r="B113" s="140" t="s">
        <v>501</v>
      </c>
      <c r="C113" s="133"/>
      <c r="D113" s="133"/>
      <c r="E113" s="133"/>
      <c r="F113" s="133"/>
      <c r="G113" s="133"/>
      <c r="H113" s="133"/>
      <c r="I113" s="133"/>
      <c r="J113" s="133"/>
      <c r="K113" s="134"/>
    </row>
    <row r="114" spans="1:11" x14ac:dyDescent="0.25">
      <c r="B114" s="168" t="s">
        <v>500</v>
      </c>
      <c r="C114" s="169">
        <f>BPI!F13</f>
        <v>0</v>
      </c>
      <c r="D114" s="94"/>
      <c r="E114" s="125" t="s">
        <v>502</v>
      </c>
      <c r="F114" s="125">
        <f>COUNTA(BPI[Initiales du nom de l''enfant])</f>
        <v>0</v>
      </c>
      <c r="G114" s="94"/>
      <c r="H114" s="94"/>
      <c r="I114" s="94"/>
      <c r="J114" s="94"/>
      <c r="K114" s="95"/>
    </row>
    <row r="115" spans="1:11" x14ac:dyDescent="0.25">
      <c r="B115" s="132" t="s">
        <v>80</v>
      </c>
      <c r="C115" s="97">
        <f>BPI!D9</f>
        <v>0</v>
      </c>
      <c r="D115" s="97"/>
      <c r="E115" s="97"/>
      <c r="F115" s="97"/>
      <c r="G115" s="97"/>
      <c r="H115" s="97"/>
      <c r="I115" s="97"/>
      <c r="J115" s="97"/>
      <c r="K115" s="98"/>
    </row>
    <row r="116" spans="1:11" x14ac:dyDescent="0.25">
      <c r="B116" s="167" t="s">
        <v>81</v>
      </c>
      <c r="C116" s="78">
        <f>BPI!D10</f>
        <v>0</v>
      </c>
      <c r="D116" s="78"/>
      <c r="E116" s="78"/>
      <c r="F116" s="78"/>
      <c r="G116" s="78"/>
      <c r="H116" s="78"/>
      <c r="I116" s="78"/>
      <c r="J116" s="78"/>
      <c r="K116" s="100"/>
    </row>
    <row r="117" spans="1:11" x14ac:dyDescent="0.25">
      <c r="A117" s="748" t="s">
        <v>516</v>
      </c>
      <c r="B117" s="140" t="s">
        <v>509</v>
      </c>
      <c r="C117" s="133"/>
      <c r="D117" s="133"/>
      <c r="E117" s="133"/>
      <c r="F117" s="133"/>
      <c r="G117" s="133"/>
      <c r="H117" s="133"/>
      <c r="I117" s="133"/>
      <c r="J117" s="133"/>
      <c r="K117" s="134"/>
    </row>
    <row r="118" spans="1:11" x14ac:dyDescent="0.25">
      <c r="A118" s="748"/>
      <c r="B118" s="144" t="s">
        <v>254</v>
      </c>
      <c r="C118" s="144"/>
      <c r="D118" s="145"/>
      <c r="E118" s="146" t="s">
        <v>522</v>
      </c>
      <c r="F118" s="147" t="s">
        <v>523</v>
      </c>
      <c r="G118" s="147" t="s">
        <v>510</v>
      </c>
      <c r="H118" s="97"/>
      <c r="I118" s="97"/>
      <c r="J118" s="97"/>
      <c r="K118" s="98"/>
    </row>
    <row r="119" spans="1:11" x14ac:dyDescent="0.25">
      <c r="A119" s="748"/>
      <c r="B119" s="148" t="s">
        <v>93</v>
      </c>
      <c r="C119" s="149"/>
      <c r="D119" s="149"/>
      <c r="E119" s="172">
        <f>SUMIF(CCTSAS[Allocation fonctions],B119,CCTSAS[heures annuelles
selon contrat(s)])</f>
        <v>0</v>
      </c>
      <c r="F119" s="172">
        <f>SUMIF(SalCommune[Allocations fonctions],B119,SalCommune[heures annuelles
selon contrat(s)])</f>
        <v>0</v>
      </c>
      <c r="G119" s="173">
        <f>SUM(C119:F119)</f>
        <v>0</v>
      </c>
      <c r="H119" s="97"/>
      <c r="I119" s="97"/>
      <c r="J119" s="97"/>
      <c r="K119" s="98"/>
    </row>
    <row r="120" spans="1:11" x14ac:dyDescent="0.25">
      <c r="A120" s="748"/>
      <c r="B120" s="150" t="s">
        <v>94</v>
      </c>
      <c r="C120" s="151"/>
      <c r="D120" s="151"/>
      <c r="E120" s="171">
        <f>SUMIF(CCTSAS[Allocation fonctions],B120,CCTSAS[heures annuelles
selon contrat(s)])</f>
        <v>0</v>
      </c>
      <c r="F120" s="171">
        <f>SUMIF(SalCommune[Allocations fonctions],B120,SalCommune[heures annuelles
selon contrat(s)])</f>
        <v>0</v>
      </c>
      <c r="G120" s="174">
        <f t="shared" ref="G120:G141" si="23">SUM(C120:F120)</f>
        <v>0</v>
      </c>
      <c r="H120" s="97"/>
      <c r="I120" s="97"/>
      <c r="J120" s="97"/>
      <c r="K120" s="98"/>
    </row>
    <row r="121" spans="1:11" x14ac:dyDescent="0.25">
      <c r="A121" s="748"/>
      <c r="B121" s="150" t="s">
        <v>95</v>
      </c>
      <c r="C121" s="151"/>
      <c r="D121" s="151"/>
      <c r="E121" s="171">
        <f>SUMIF(CCTSAS[Allocation fonctions],B121,CCTSAS[heures annuelles
selon contrat(s)])</f>
        <v>0</v>
      </c>
      <c r="F121" s="171">
        <f>SUMIF(SalCommune[Allocations fonctions],B121,SalCommune[heures annuelles
selon contrat(s)])</f>
        <v>0</v>
      </c>
      <c r="G121" s="174">
        <f t="shared" si="23"/>
        <v>0</v>
      </c>
      <c r="H121" s="97"/>
      <c r="I121" s="97"/>
      <c r="J121" s="97"/>
      <c r="K121" s="98"/>
    </row>
    <row r="122" spans="1:11" x14ac:dyDescent="0.25">
      <c r="A122" s="748"/>
      <c r="B122" s="150" t="s">
        <v>96</v>
      </c>
      <c r="C122" s="151"/>
      <c r="D122" s="151"/>
      <c r="E122" s="171">
        <f>SUMIF(CCTSAS[Allocation fonctions],B122,CCTSAS[heures annuelles
selon contrat(s)])</f>
        <v>0</v>
      </c>
      <c r="F122" s="171">
        <f>SUMIF(SalCommune[Allocations fonctions],B122,SalCommune[heures annuelles
selon contrat(s)])</f>
        <v>0</v>
      </c>
      <c r="G122" s="174">
        <f t="shared" si="23"/>
        <v>0</v>
      </c>
      <c r="H122" s="97"/>
      <c r="I122" s="97"/>
      <c r="J122" s="97"/>
      <c r="K122" s="98"/>
    </row>
    <row r="123" spans="1:11" x14ac:dyDescent="0.25">
      <c r="A123" s="748"/>
      <c r="B123" s="150" t="s">
        <v>97</v>
      </c>
      <c r="C123" s="151"/>
      <c r="D123" s="151"/>
      <c r="E123" s="171">
        <f>SUMIF(CCTSAS[Allocation fonctions],B123,CCTSAS[heures annuelles
selon contrat(s)])</f>
        <v>0</v>
      </c>
      <c r="F123" s="171">
        <f>SUMIF(SalCommune[Allocations fonctions],B123,SalCommune[heures annuelles
selon contrat(s)])</f>
        <v>0</v>
      </c>
      <c r="G123" s="174">
        <f t="shared" si="23"/>
        <v>0</v>
      </c>
      <c r="H123" s="97"/>
      <c r="I123" s="97"/>
      <c r="J123" s="97"/>
      <c r="K123" s="98"/>
    </row>
    <row r="124" spans="1:11" x14ac:dyDescent="0.25">
      <c r="A124" s="748"/>
      <c r="B124" s="150" t="s">
        <v>111</v>
      </c>
      <c r="C124" s="151"/>
      <c r="D124" s="151"/>
      <c r="E124" s="171">
        <f>SUMIF(CCTSAS[Allocation fonctions],B124,CCTSAS[heures annuelles
selon contrat(s)])</f>
        <v>0</v>
      </c>
      <c r="F124" s="171">
        <f>SUMIF(SalCommune[Allocations fonctions],B124,SalCommune[heures annuelles
selon contrat(s)])</f>
        <v>0</v>
      </c>
      <c r="G124" s="174">
        <f t="shared" si="23"/>
        <v>0</v>
      </c>
      <c r="H124" s="97"/>
      <c r="I124" s="97"/>
      <c r="J124" s="97"/>
      <c r="K124" s="98"/>
    </row>
    <row r="125" spans="1:11" x14ac:dyDescent="0.25">
      <c r="A125" s="748"/>
      <c r="B125" s="150" t="s">
        <v>98</v>
      </c>
      <c r="C125" s="151"/>
      <c r="D125" s="151"/>
      <c r="E125" s="171">
        <f>SUMIF(CCTSAS[Allocation fonctions],B125,CCTSAS[heures annuelles
selon contrat(s)])</f>
        <v>0</v>
      </c>
      <c r="F125" s="171">
        <f>SUMIF(SalCommune[Allocations fonctions],B125,SalCommune[heures annuelles
selon contrat(s)])</f>
        <v>0</v>
      </c>
      <c r="G125" s="174">
        <f t="shared" si="23"/>
        <v>0</v>
      </c>
      <c r="H125" s="97"/>
      <c r="I125" s="97"/>
      <c r="J125" s="97"/>
      <c r="K125" s="98"/>
    </row>
    <row r="126" spans="1:11" x14ac:dyDescent="0.25">
      <c r="A126" s="748"/>
      <c r="B126" s="150" t="s">
        <v>99</v>
      </c>
      <c r="C126" s="151"/>
      <c r="D126" s="151"/>
      <c r="E126" s="171">
        <f>SUMIF(CCTSAS[Allocation fonctions],B126,CCTSAS[heures annuelles
selon contrat(s)])</f>
        <v>0</v>
      </c>
      <c r="F126" s="171">
        <f>SUMIF(SalCommune[Allocations fonctions],B126,SalCommune[heures annuelles
selon contrat(s)])</f>
        <v>0</v>
      </c>
      <c r="G126" s="174">
        <f t="shared" si="23"/>
        <v>0</v>
      </c>
      <c r="H126" s="97"/>
      <c r="I126" s="97"/>
      <c r="J126" s="97"/>
      <c r="K126" s="98"/>
    </row>
    <row r="127" spans="1:11" x14ac:dyDescent="0.25">
      <c r="A127" s="748"/>
      <c r="B127" s="150" t="s">
        <v>100</v>
      </c>
      <c r="C127" s="151"/>
      <c r="D127" s="151"/>
      <c r="E127" s="171">
        <f>SUMIF(CCTSAS[Allocation fonctions],B127,CCTSAS[heures annuelles
selon contrat(s)])</f>
        <v>0</v>
      </c>
      <c r="F127" s="171">
        <f>SUMIF(SalCommune[Allocations fonctions],B127,SalCommune[heures annuelles
selon contrat(s)])</f>
        <v>0</v>
      </c>
      <c r="G127" s="174">
        <f t="shared" si="23"/>
        <v>0</v>
      </c>
      <c r="H127" s="97"/>
      <c r="I127" s="97"/>
      <c r="J127" s="97"/>
      <c r="K127" s="98"/>
    </row>
    <row r="128" spans="1:11" x14ac:dyDescent="0.25">
      <c r="A128" s="748"/>
      <c r="B128" s="150" t="s">
        <v>101</v>
      </c>
      <c r="C128" s="151"/>
      <c r="D128" s="151"/>
      <c r="E128" s="171">
        <f>SUMIF(CCTSAS[Allocation fonctions],B128,CCTSAS[heures annuelles
selon contrat(s)])</f>
        <v>0</v>
      </c>
      <c r="F128" s="171">
        <f>SUMIF(SalCommune[Allocations fonctions],B128,SalCommune[heures annuelles
selon contrat(s)])</f>
        <v>0</v>
      </c>
      <c r="G128" s="174">
        <f t="shared" si="23"/>
        <v>0</v>
      </c>
      <c r="H128" s="97"/>
      <c r="I128" s="97"/>
      <c r="J128" s="97"/>
      <c r="K128" s="98"/>
    </row>
    <row r="129" spans="1:11" x14ac:dyDescent="0.25">
      <c r="A129" s="748"/>
      <c r="B129" s="150" t="s">
        <v>102</v>
      </c>
      <c r="C129" s="151"/>
      <c r="D129" s="151"/>
      <c r="E129" s="171">
        <f>SUMIF(CCTSAS[Allocation fonctions],B129,CCTSAS[heures annuelles
selon contrat(s)])</f>
        <v>0</v>
      </c>
      <c r="F129" s="171">
        <f>SUMIF(SalCommune[Allocations fonctions],B129,SalCommune[heures annuelles
selon contrat(s)])</f>
        <v>0</v>
      </c>
      <c r="G129" s="174">
        <f t="shared" si="23"/>
        <v>0</v>
      </c>
      <c r="H129" s="97"/>
      <c r="I129" s="97"/>
      <c r="J129" s="97"/>
      <c r="K129" s="98"/>
    </row>
    <row r="130" spans="1:11" x14ac:dyDescent="0.25">
      <c r="A130" s="748"/>
      <c r="B130" s="150" t="s">
        <v>103</v>
      </c>
      <c r="C130" s="151"/>
      <c r="D130" s="151"/>
      <c r="E130" s="171">
        <f>SUMIF(CCTSAS[Allocation fonctions],B130,CCTSAS[heures annuelles
selon contrat(s)])</f>
        <v>0</v>
      </c>
      <c r="F130" s="171">
        <f>SUMIF(SalCommune[Allocations fonctions],B130,SalCommune[heures annuelles
selon contrat(s)])</f>
        <v>0</v>
      </c>
      <c r="G130" s="174">
        <f t="shared" si="23"/>
        <v>0</v>
      </c>
      <c r="H130" s="97"/>
      <c r="I130" s="97"/>
      <c r="J130" s="97"/>
      <c r="K130" s="98"/>
    </row>
    <row r="131" spans="1:11" x14ac:dyDescent="0.25">
      <c r="A131" s="748"/>
      <c r="B131" s="150" t="s">
        <v>638</v>
      </c>
      <c r="C131" s="151"/>
      <c r="D131" s="151"/>
      <c r="E131" s="171">
        <f>SUMIF(CCTSAS[Allocation fonctions],B131,CCTSAS[heures annuelles
selon contrat(s)])</f>
        <v>0</v>
      </c>
      <c r="F131" s="171">
        <f>SUMIF(SalCommune[Allocations fonctions],B131,SalCommune[heures annuelles
selon contrat(s)])</f>
        <v>0</v>
      </c>
      <c r="G131" s="174">
        <f t="shared" si="23"/>
        <v>0</v>
      </c>
      <c r="H131" s="97"/>
      <c r="I131" s="97"/>
      <c r="J131" s="97"/>
      <c r="K131" s="98"/>
    </row>
    <row r="132" spans="1:11" x14ac:dyDescent="0.25">
      <c r="A132" s="748"/>
      <c r="B132" s="150" t="s">
        <v>637</v>
      </c>
      <c r="C132" s="151"/>
      <c r="D132" s="151"/>
      <c r="E132" s="171">
        <f>SUMIF(CCTSAS[Allocation fonctions],B132,CCTSAS[heures annuelles
selon contrat(s)])</f>
        <v>0</v>
      </c>
      <c r="F132" s="171">
        <f>SUMIF(SalCommune[Allocations fonctions],B132,SalCommune[heures annuelles
selon contrat(s)])</f>
        <v>0</v>
      </c>
      <c r="G132" s="174">
        <f t="shared" si="23"/>
        <v>0</v>
      </c>
      <c r="H132" s="97"/>
      <c r="I132" s="97"/>
      <c r="J132" s="97"/>
      <c r="K132" s="98"/>
    </row>
    <row r="133" spans="1:11" x14ac:dyDescent="0.25">
      <c r="A133" s="748"/>
      <c r="B133" s="150" t="s">
        <v>105</v>
      </c>
      <c r="C133" s="151"/>
      <c r="D133" s="151"/>
      <c r="E133" s="171">
        <f>SUMIF(CCTSAS[Allocation fonctions],B133,CCTSAS[heures annuelles
selon contrat(s)])</f>
        <v>0</v>
      </c>
      <c r="F133" s="171">
        <f>SUMIF(SalCommune[Allocations fonctions],B133,SalCommune[heures annuelles
selon contrat(s)])</f>
        <v>0</v>
      </c>
      <c r="G133" s="174">
        <f t="shared" si="23"/>
        <v>0</v>
      </c>
      <c r="H133" s="97"/>
      <c r="I133" s="97"/>
      <c r="J133" s="97"/>
      <c r="K133" s="98"/>
    </row>
    <row r="134" spans="1:11" x14ac:dyDescent="0.25">
      <c r="A134" s="748"/>
      <c r="B134" s="150" t="s">
        <v>106</v>
      </c>
      <c r="C134" s="151"/>
      <c r="D134" s="151"/>
      <c r="E134" s="171">
        <f>SUMIF(CCTSAS[Allocation fonctions],B134,CCTSAS[heures annuelles
selon contrat(s)])</f>
        <v>0</v>
      </c>
      <c r="F134" s="171">
        <f>SUMIF(SalCommune[Allocations fonctions],B134,SalCommune[heures annuelles
selon contrat(s)])</f>
        <v>0</v>
      </c>
      <c r="G134" s="174">
        <f t="shared" si="23"/>
        <v>0</v>
      </c>
      <c r="H134" s="97"/>
      <c r="I134" s="97"/>
      <c r="J134" s="97"/>
      <c r="K134" s="98"/>
    </row>
    <row r="135" spans="1:11" x14ac:dyDescent="0.25">
      <c r="A135" s="748"/>
      <c r="B135" s="150" t="s">
        <v>107</v>
      </c>
      <c r="C135" s="151"/>
      <c r="D135" s="151"/>
      <c r="E135" s="171">
        <f>SUMIF(CCTSAS[Allocation fonctions],B135,CCTSAS[heures annuelles
selon contrat(s)])</f>
        <v>0</v>
      </c>
      <c r="F135" s="171">
        <f>SUMIF(SalCommune[Allocations fonctions],B135,SalCommune[heures annuelles
selon contrat(s)])</f>
        <v>0</v>
      </c>
      <c r="G135" s="174">
        <f t="shared" si="23"/>
        <v>0</v>
      </c>
      <c r="H135" s="97"/>
      <c r="I135" s="97"/>
      <c r="J135" s="97"/>
      <c r="K135" s="98"/>
    </row>
    <row r="136" spans="1:11" x14ac:dyDescent="0.25">
      <c r="A136" s="748"/>
      <c r="B136" s="150" t="s">
        <v>108</v>
      </c>
      <c r="C136" s="151"/>
      <c r="D136" s="151"/>
      <c r="E136" s="171">
        <f>SUMIF(CCTSAS[Allocation fonctions],B136,CCTSAS[heures annuelles
selon contrat(s)])</f>
        <v>0</v>
      </c>
      <c r="F136" s="171">
        <f>SUMIF(SalCommune[Allocations fonctions],B136,SalCommune[heures annuelles
selon contrat(s)])</f>
        <v>0</v>
      </c>
      <c r="G136" s="174">
        <f t="shared" si="23"/>
        <v>0</v>
      </c>
      <c r="H136" s="97"/>
      <c r="I136" s="97"/>
      <c r="J136" s="97"/>
      <c r="K136" s="98"/>
    </row>
    <row r="137" spans="1:11" x14ac:dyDescent="0.25">
      <c r="A137" s="748"/>
      <c r="B137" s="150" t="s">
        <v>109</v>
      </c>
      <c r="C137" s="504"/>
      <c r="D137" s="504"/>
      <c r="E137" s="171">
        <f>SUMIF(CCTSAS[Allocation fonctions],B137,CCTSAS[heures annuelles
selon contrat(s)])</f>
        <v>0</v>
      </c>
      <c r="F137" s="171">
        <f>SUMIF(SalCommune[Allocations fonctions],B137,SalCommune[heures annuelles
selon contrat(s)])</f>
        <v>0</v>
      </c>
      <c r="G137" s="174">
        <f t="shared" si="23"/>
        <v>0</v>
      </c>
      <c r="H137" s="97"/>
      <c r="I137" s="97"/>
      <c r="J137" s="97"/>
      <c r="K137" s="98"/>
    </row>
    <row r="138" spans="1:11" x14ac:dyDescent="0.25">
      <c r="A138" s="748"/>
      <c r="B138" s="150" t="s">
        <v>610</v>
      </c>
      <c r="C138" s="504"/>
      <c r="D138" s="504"/>
      <c r="E138" s="171">
        <f>SUMIF(CCTSAS[Allocation fonctions],B138,CCTSAS[heures annuelles
selon contrat(s)])</f>
        <v>0</v>
      </c>
      <c r="F138" s="171">
        <f>SUMIF(SalCommune[Allocations fonctions],B138,SalCommune[heures annuelles
selon contrat(s)])</f>
        <v>0</v>
      </c>
      <c r="G138" s="174">
        <f t="shared" si="23"/>
        <v>0</v>
      </c>
      <c r="H138" s="97"/>
      <c r="I138" s="97"/>
      <c r="J138" s="97"/>
      <c r="K138" s="98"/>
    </row>
    <row r="139" spans="1:11" x14ac:dyDescent="0.25">
      <c r="A139" s="748"/>
      <c r="B139" s="150" t="s">
        <v>627</v>
      </c>
      <c r="C139" s="504"/>
      <c r="D139" s="504"/>
      <c r="E139" s="171">
        <f>SUMIF(CCTSAS[Allocation fonctions],B139,CCTSAS[heures annuelles
selon contrat(s)])</f>
        <v>0</v>
      </c>
      <c r="F139" s="171">
        <f>SUMIF(SalCommune[Allocations fonctions],B139,SalCommune[heures annuelles
selon contrat(s)])</f>
        <v>0</v>
      </c>
      <c r="G139" s="174">
        <f t="shared" si="23"/>
        <v>0</v>
      </c>
      <c r="H139" s="97"/>
      <c r="I139" s="97"/>
      <c r="J139" s="97"/>
      <c r="K139" s="98"/>
    </row>
    <row r="140" spans="1:11" x14ac:dyDescent="0.25">
      <c r="A140" s="748"/>
      <c r="B140" s="150" t="s">
        <v>628</v>
      </c>
      <c r="C140" s="504"/>
      <c r="D140" s="504"/>
      <c r="E140" s="171">
        <f>SUMIF(CCTSAS[Allocation fonctions],B140,CCTSAS[heures annuelles
selon contrat(s)])</f>
        <v>0</v>
      </c>
      <c r="F140" s="171">
        <f>SUMIF(SalCommune[Allocations fonctions],B140,SalCommune[heures annuelles
selon contrat(s)])</f>
        <v>0</v>
      </c>
      <c r="G140" s="174">
        <f t="shared" si="23"/>
        <v>0</v>
      </c>
      <c r="H140" s="97"/>
      <c r="I140" s="97"/>
      <c r="J140" s="97"/>
      <c r="K140" s="98"/>
    </row>
    <row r="141" spans="1:11" x14ac:dyDescent="0.25">
      <c r="A141" s="748"/>
      <c r="B141" s="150" t="s">
        <v>629</v>
      </c>
      <c r="C141" s="152"/>
      <c r="D141" s="152"/>
      <c r="E141" s="171">
        <f>SUMIF(CCTSAS[Allocation fonctions],B141,CCTSAS[heures annuelles
selon contrat(s)])</f>
        <v>0</v>
      </c>
      <c r="F141" s="171">
        <f>SUMIF(SalCommune[Allocations fonctions],B141,SalCommune[heures annuelles
selon contrat(s)])</f>
        <v>0</v>
      </c>
      <c r="G141" s="174">
        <f t="shared" si="23"/>
        <v>0</v>
      </c>
      <c r="H141" s="97"/>
      <c r="I141" s="97"/>
      <c r="J141" s="97"/>
      <c r="K141" s="98"/>
    </row>
    <row r="142" spans="1:11" x14ac:dyDescent="0.25">
      <c r="A142" s="748"/>
      <c r="B142" s="143" t="s">
        <v>436</v>
      </c>
      <c r="C142" s="141"/>
      <c r="D142" s="141"/>
      <c r="E142" s="177">
        <f t="shared" ref="E142:G142" si="24">SUM(E119:E141)</f>
        <v>0</v>
      </c>
      <c r="F142" s="177">
        <f t="shared" si="24"/>
        <v>0</v>
      </c>
      <c r="G142" s="178">
        <f t="shared" si="24"/>
        <v>0</v>
      </c>
      <c r="H142" s="78"/>
      <c r="I142" s="78"/>
      <c r="J142" s="78"/>
      <c r="K142" s="100"/>
    </row>
    <row r="143" spans="1:11" x14ac:dyDescent="0.25">
      <c r="A143" s="748"/>
      <c r="B143" s="140" t="s">
        <v>511</v>
      </c>
      <c r="C143" s="133"/>
      <c r="D143" s="133"/>
      <c r="E143" s="133"/>
      <c r="F143" s="133"/>
      <c r="G143" s="133"/>
      <c r="H143" s="133"/>
      <c r="I143" s="133"/>
      <c r="J143" s="133"/>
      <c r="K143" s="134"/>
    </row>
    <row r="144" spans="1:11" x14ac:dyDescent="0.25">
      <c r="A144" s="748"/>
      <c r="B144" s="144" t="s">
        <v>254</v>
      </c>
      <c r="C144" s="746" t="s">
        <v>512</v>
      </c>
      <c r="D144" s="747"/>
      <c r="E144" s="147" t="s">
        <v>513</v>
      </c>
      <c r="F144" s="147" t="s">
        <v>514</v>
      </c>
      <c r="G144" s="147" t="s">
        <v>510</v>
      </c>
      <c r="H144" s="97"/>
      <c r="I144" s="97"/>
      <c r="J144" s="97"/>
      <c r="K144" s="98"/>
    </row>
    <row r="145" spans="1:11" x14ac:dyDescent="0.25">
      <c r="A145" s="748"/>
      <c r="B145" s="148" t="s">
        <v>93</v>
      </c>
      <c r="C145" s="172">
        <f>SUMIF(CCTSAS[Allocation fonctions],B145,CCTSAS[Heures de maladie])+SUMIF(CCTSAS[Allocation fonctions],B145,CCTSAS[Autres absences motivées])</f>
        <v>0</v>
      </c>
      <c r="D145" s="172"/>
      <c r="E145" s="172">
        <f>SUMIF(SalCommune[Allocations fonctions],B145,SalCommune[Heures de maladie])</f>
        <v>0</v>
      </c>
      <c r="F145" s="172">
        <f>SUMIF(SalCommune[Allocations fonctions],B145,SalCommune[Heures de congé de maternité])</f>
        <v>0</v>
      </c>
      <c r="G145" s="173">
        <f>SUM(C145:F145)</f>
        <v>0</v>
      </c>
      <c r="H145" s="97"/>
      <c r="I145" s="97"/>
      <c r="J145" s="97"/>
      <c r="K145" s="98"/>
    </row>
    <row r="146" spans="1:11" x14ac:dyDescent="0.25">
      <c r="A146" s="748"/>
      <c r="B146" s="150" t="s">
        <v>94</v>
      </c>
      <c r="C146" s="171">
        <f>SUMIF(CCTSAS[Allocation fonctions],B146,CCTSAS[Heures de maladie])+SUMIF(CCTSAS[Allocation fonctions],B146,CCTSAS[Autres absences motivées])</f>
        <v>0</v>
      </c>
      <c r="D146" s="171"/>
      <c r="E146" s="171">
        <f>SUMIF(SalCommune[Allocations fonctions],B146,SalCommune[Heures de maladie])</f>
        <v>0</v>
      </c>
      <c r="F146" s="171">
        <f>SUMIF(SalCommune[Allocations fonctions],B146,SalCommune[Heures de congé de maternité])</f>
        <v>0</v>
      </c>
      <c r="G146" s="174">
        <f t="shared" ref="G146:G163" si="25">SUM(C146:F146)</f>
        <v>0</v>
      </c>
      <c r="H146" s="97"/>
      <c r="I146" s="97"/>
      <c r="J146" s="97"/>
      <c r="K146" s="98"/>
    </row>
    <row r="147" spans="1:11" x14ac:dyDescent="0.25">
      <c r="A147" s="748"/>
      <c r="B147" s="150" t="s">
        <v>95</v>
      </c>
      <c r="C147" s="171">
        <f>SUMIF(CCTSAS[Allocation fonctions],B147,CCTSAS[Heures de maladie])+SUMIF(CCTSAS[Allocation fonctions],B147,CCTSAS[Autres absences motivées])</f>
        <v>0</v>
      </c>
      <c r="D147" s="171"/>
      <c r="E147" s="171">
        <f>SUMIF(SalCommune[Allocations fonctions],B147,SalCommune[Heures de maladie])</f>
        <v>0</v>
      </c>
      <c r="F147" s="171">
        <f>SUMIF(SalCommune[Allocations fonctions],B147,SalCommune[Heures de congé de maternité])</f>
        <v>0</v>
      </c>
      <c r="G147" s="174">
        <f t="shared" si="25"/>
        <v>0</v>
      </c>
      <c r="H147" s="97"/>
      <c r="I147" s="97"/>
      <c r="J147" s="97"/>
      <c r="K147" s="98"/>
    </row>
    <row r="148" spans="1:11" x14ac:dyDescent="0.25">
      <c r="A148" s="748"/>
      <c r="B148" s="150" t="s">
        <v>96</v>
      </c>
      <c r="C148" s="171">
        <f>SUMIF(CCTSAS[Allocation fonctions],B148,CCTSAS[Heures de maladie])+SUMIF(CCTSAS[Allocation fonctions],B148,CCTSAS[Autres absences motivées])</f>
        <v>0</v>
      </c>
      <c r="D148" s="171"/>
      <c r="E148" s="171">
        <f>SUMIF(SalCommune[Allocations fonctions],B148,SalCommune[Heures de maladie])</f>
        <v>0</v>
      </c>
      <c r="F148" s="171">
        <f>SUMIF(SalCommune[Allocations fonctions],B148,SalCommune[Heures de congé de maternité])</f>
        <v>0</v>
      </c>
      <c r="G148" s="174">
        <f t="shared" si="25"/>
        <v>0</v>
      </c>
      <c r="H148" s="97"/>
      <c r="I148" s="97"/>
      <c r="J148" s="97"/>
      <c r="K148" s="98"/>
    </row>
    <row r="149" spans="1:11" x14ac:dyDescent="0.25">
      <c r="A149" s="748"/>
      <c r="B149" s="150" t="s">
        <v>97</v>
      </c>
      <c r="C149" s="171">
        <f>SUMIF(CCTSAS[Allocation fonctions],B149,CCTSAS[Heures de maladie])+SUMIF(CCTSAS[Allocation fonctions],B149,CCTSAS[Autres absences motivées])</f>
        <v>0</v>
      </c>
      <c r="D149" s="171"/>
      <c r="E149" s="171">
        <f>SUMIF(SalCommune[Allocations fonctions],B149,SalCommune[Heures de maladie])</f>
        <v>0</v>
      </c>
      <c r="F149" s="171">
        <f>SUMIF(SalCommune[Allocations fonctions],B149,SalCommune[Heures de congé de maternité])</f>
        <v>0</v>
      </c>
      <c r="G149" s="174">
        <f t="shared" si="25"/>
        <v>0</v>
      </c>
      <c r="H149" s="97"/>
      <c r="I149" s="97"/>
      <c r="J149" s="97"/>
      <c r="K149" s="98"/>
    </row>
    <row r="150" spans="1:11" x14ac:dyDescent="0.25">
      <c r="A150" s="748"/>
      <c r="B150" s="150" t="s">
        <v>111</v>
      </c>
      <c r="C150" s="171">
        <f>SUMIF(CCTSAS[Allocation fonctions],B150,CCTSAS[Heures de maladie])+SUMIF(CCTSAS[Allocation fonctions],B150,CCTSAS[Autres absences motivées])</f>
        <v>0</v>
      </c>
      <c r="D150" s="171"/>
      <c r="E150" s="171">
        <f>SUMIF(SalCommune[Allocations fonctions],B150,SalCommune[Heures de maladie])</f>
        <v>0</v>
      </c>
      <c r="F150" s="171">
        <f>SUMIF(SalCommune[Allocations fonctions],B150,SalCommune[Heures de congé de maternité])</f>
        <v>0</v>
      </c>
      <c r="G150" s="174">
        <f t="shared" si="25"/>
        <v>0</v>
      </c>
      <c r="H150" s="97"/>
      <c r="I150" s="97"/>
      <c r="J150" s="97"/>
      <c r="K150" s="98"/>
    </row>
    <row r="151" spans="1:11" x14ac:dyDescent="0.25">
      <c r="A151" s="748"/>
      <c r="B151" s="150" t="s">
        <v>98</v>
      </c>
      <c r="C151" s="171">
        <f>SUMIF(CCTSAS[Allocation fonctions],B151,CCTSAS[Heures de maladie])+SUMIF(CCTSAS[Allocation fonctions],B151,CCTSAS[Autres absences motivées])</f>
        <v>0</v>
      </c>
      <c r="D151" s="171"/>
      <c r="E151" s="171">
        <f>SUMIF(SalCommune[Allocations fonctions],B151,SalCommune[Heures de maladie])</f>
        <v>0</v>
      </c>
      <c r="F151" s="171">
        <f>SUMIF(SalCommune[Allocations fonctions],B151,SalCommune[Heures de congé de maternité])</f>
        <v>0</v>
      </c>
      <c r="G151" s="174">
        <f t="shared" si="25"/>
        <v>0</v>
      </c>
      <c r="H151" s="97"/>
      <c r="I151" s="97"/>
      <c r="J151" s="97"/>
      <c r="K151" s="98"/>
    </row>
    <row r="152" spans="1:11" x14ac:dyDescent="0.25">
      <c r="A152" s="748"/>
      <c r="B152" s="150" t="s">
        <v>99</v>
      </c>
      <c r="C152" s="171">
        <f>SUMIF(CCTSAS[Allocation fonctions],B152,CCTSAS[Heures de maladie])+SUMIF(CCTSAS[Allocation fonctions],B152,CCTSAS[Autres absences motivées])</f>
        <v>0</v>
      </c>
      <c r="D152" s="171"/>
      <c r="E152" s="171">
        <f>SUMIF(SalCommune[Allocations fonctions],B152,SalCommune[Heures de maladie])</f>
        <v>0</v>
      </c>
      <c r="F152" s="171">
        <f>SUMIF(SalCommune[Allocations fonctions],B152,SalCommune[Heures de congé de maternité])</f>
        <v>0</v>
      </c>
      <c r="G152" s="174">
        <f t="shared" si="25"/>
        <v>0</v>
      </c>
      <c r="H152" s="97"/>
      <c r="I152" s="97"/>
      <c r="J152" s="97"/>
      <c r="K152" s="98"/>
    </row>
    <row r="153" spans="1:11" x14ac:dyDescent="0.25">
      <c r="A153" s="748"/>
      <c r="B153" s="150" t="s">
        <v>100</v>
      </c>
      <c r="C153" s="171">
        <f>SUMIF(CCTSAS[Allocation fonctions],B153,CCTSAS[Heures de maladie])+SUMIF(CCTSAS[Allocation fonctions],B153,CCTSAS[Autres absences motivées])</f>
        <v>0</v>
      </c>
      <c r="D153" s="171"/>
      <c r="E153" s="171">
        <f>SUMIF(SalCommune[Allocations fonctions],B153,SalCommune[Heures de maladie])</f>
        <v>0</v>
      </c>
      <c r="F153" s="171">
        <f>SUMIF(SalCommune[Allocations fonctions],B153,SalCommune[Heures de congé de maternité])</f>
        <v>0</v>
      </c>
      <c r="G153" s="174">
        <f t="shared" si="25"/>
        <v>0</v>
      </c>
      <c r="H153" s="97"/>
      <c r="I153" s="97"/>
      <c r="J153" s="97"/>
      <c r="K153" s="98"/>
    </row>
    <row r="154" spans="1:11" x14ac:dyDescent="0.25">
      <c r="A154" s="748"/>
      <c r="B154" s="150" t="s">
        <v>101</v>
      </c>
      <c r="C154" s="171">
        <f>SUMIF(CCTSAS[Allocation fonctions],B154,CCTSAS[Heures de maladie])+SUMIF(CCTSAS[Allocation fonctions],B154,CCTSAS[Autres absences motivées])</f>
        <v>0</v>
      </c>
      <c r="D154" s="171"/>
      <c r="E154" s="171">
        <f>SUMIF(SalCommune[Allocations fonctions],B154,SalCommune[Heures de maladie])</f>
        <v>0</v>
      </c>
      <c r="F154" s="171">
        <f>SUMIF(SalCommune[Allocations fonctions],B154,SalCommune[Heures de congé de maternité])</f>
        <v>0</v>
      </c>
      <c r="G154" s="174">
        <f t="shared" si="25"/>
        <v>0</v>
      </c>
      <c r="H154" s="97"/>
      <c r="I154" s="97"/>
      <c r="J154" s="97"/>
      <c r="K154" s="98"/>
    </row>
    <row r="155" spans="1:11" x14ac:dyDescent="0.25">
      <c r="A155" s="748"/>
      <c r="B155" s="150" t="s">
        <v>102</v>
      </c>
      <c r="C155" s="171">
        <f>SUMIF(CCTSAS[Allocation fonctions],B155,CCTSAS[Heures de maladie])+SUMIF(CCTSAS[Allocation fonctions],B155,CCTSAS[Autres absences motivées])</f>
        <v>0</v>
      </c>
      <c r="D155" s="171"/>
      <c r="E155" s="171">
        <f>SUMIF(SalCommune[Allocations fonctions],B155,SalCommune[Heures de maladie])</f>
        <v>0</v>
      </c>
      <c r="F155" s="171">
        <f>SUMIF(SalCommune[Allocations fonctions],B155,SalCommune[Heures de congé de maternité])</f>
        <v>0</v>
      </c>
      <c r="G155" s="174">
        <f t="shared" si="25"/>
        <v>0</v>
      </c>
      <c r="H155" s="97"/>
      <c r="I155" s="97"/>
      <c r="J155" s="97"/>
      <c r="K155" s="98"/>
    </row>
    <row r="156" spans="1:11" x14ac:dyDescent="0.25">
      <c r="A156" s="748"/>
      <c r="B156" s="150" t="s">
        <v>103</v>
      </c>
      <c r="C156" s="171">
        <f>SUMIF(CCTSAS[Allocation fonctions],B156,CCTSAS[Heures de maladie])+SUMIF(CCTSAS[Allocation fonctions],B156,CCTSAS[Autres absences motivées])</f>
        <v>0</v>
      </c>
      <c r="D156" s="171"/>
      <c r="E156" s="171">
        <f>SUMIF(SalCommune[Allocations fonctions],B156,SalCommune[Heures de maladie])</f>
        <v>0</v>
      </c>
      <c r="F156" s="171">
        <f>SUMIF(SalCommune[Allocations fonctions],B156,SalCommune[Heures de congé de maternité])</f>
        <v>0</v>
      </c>
      <c r="G156" s="174">
        <f t="shared" si="25"/>
        <v>0</v>
      </c>
      <c r="H156" s="97"/>
      <c r="I156" s="97"/>
      <c r="J156" s="97"/>
      <c r="K156" s="98"/>
    </row>
    <row r="157" spans="1:11" x14ac:dyDescent="0.25">
      <c r="A157" s="748"/>
      <c r="B157" s="150" t="s">
        <v>638</v>
      </c>
      <c r="C157" s="171">
        <f>SUMIF(CCTSAS[Allocation fonctions],B157,CCTSAS[Heures de maladie])+SUMIF(CCTSAS[Allocation fonctions],B157,CCTSAS[Autres absences motivées])</f>
        <v>0</v>
      </c>
      <c r="D157" s="171"/>
      <c r="E157" s="171">
        <f>SUMIF(SalCommune[Allocations fonctions],B157,SalCommune[Heures de maladie])</f>
        <v>0</v>
      </c>
      <c r="F157" s="171">
        <f>SUMIF(SalCommune[Allocations fonctions],B157,SalCommune[Heures de congé de maternité])</f>
        <v>0</v>
      </c>
      <c r="G157" s="174">
        <f t="shared" si="25"/>
        <v>0</v>
      </c>
      <c r="H157" s="97"/>
      <c r="I157" s="97"/>
      <c r="J157" s="97"/>
      <c r="K157" s="98"/>
    </row>
    <row r="158" spans="1:11" x14ac:dyDescent="0.25">
      <c r="A158" s="748"/>
      <c r="B158" s="150" t="s">
        <v>637</v>
      </c>
      <c r="C158" s="171">
        <f>SUMIF(CCTSAS[Allocation fonctions],B158,CCTSAS[Heures de maladie])+SUMIF(CCTSAS[Allocation fonctions],B158,CCTSAS[Autres absences motivées])</f>
        <v>0</v>
      </c>
      <c r="D158" s="171"/>
      <c r="E158" s="171">
        <f>SUMIF(SalCommune[Allocations fonctions],B158,SalCommune[Heures de maladie])</f>
        <v>0</v>
      </c>
      <c r="F158" s="171">
        <f>SUMIF(SalCommune[Allocations fonctions],B158,SalCommune[Heures de congé de maternité])</f>
        <v>0</v>
      </c>
      <c r="G158" s="174">
        <f t="shared" si="25"/>
        <v>0</v>
      </c>
      <c r="H158" s="97"/>
      <c r="I158" s="97"/>
      <c r="J158" s="97"/>
      <c r="K158" s="98"/>
    </row>
    <row r="159" spans="1:11" x14ac:dyDescent="0.25">
      <c r="A159" s="748"/>
      <c r="B159" s="150" t="s">
        <v>105</v>
      </c>
      <c r="C159" s="171">
        <f>SUMIF(CCTSAS[Allocation fonctions],B159,CCTSAS[Heures de maladie])+SUMIF(CCTSAS[Allocation fonctions],B159,CCTSAS[Autres absences motivées])</f>
        <v>0</v>
      </c>
      <c r="D159" s="171"/>
      <c r="E159" s="171">
        <f>SUMIF(SalCommune[Allocations fonctions],B159,SalCommune[Heures de maladie])</f>
        <v>0</v>
      </c>
      <c r="F159" s="171">
        <f>SUMIF(SalCommune[Allocations fonctions],B159,SalCommune[Heures de congé de maternité])</f>
        <v>0</v>
      </c>
      <c r="G159" s="174">
        <f t="shared" si="25"/>
        <v>0</v>
      </c>
      <c r="H159" s="97"/>
      <c r="I159" s="97"/>
      <c r="J159" s="97"/>
      <c r="K159" s="98"/>
    </row>
    <row r="160" spans="1:11" x14ac:dyDescent="0.25">
      <c r="A160" s="748"/>
      <c r="B160" s="150" t="s">
        <v>106</v>
      </c>
      <c r="C160" s="171">
        <f>SUMIF(CCTSAS[Allocation fonctions],B160,CCTSAS[Heures de maladie])+SUMIF(CCTSAS[Allocation fonctions],B160,CCTSAS[Autres absences motivées])</f>
        <v>0</v>
      </c>
      <c r="D160" s="171"/>
      <c r="E160" s="171">
        <f>SUMIF(SalCommune[Allocations fonctions],B160,SalCommune[Heures de maladie])</f>
        <v>0</v>
      </c>
      <c r="F160" s="171">
        <f>SUMIF(SalCommune[Allocations fonctions],B160,SalCommune[Heures de congé de maternité])</f>
        <v>0</v>
      </c>
      <c r="G160" s="174">
        <f t="shared" si="25"/>
        <v>0</v>
      </c>
      <c r="H160" s="97"/>
      <c r="I160" s="97"/>
      <c r="J160" s="97"/>
      <c r="K160" s="98"/>
    </row>
    <row r="161" spans="1:11" x14ac:dyDescent="0.25">
      <c r="A161" s="748"/>
      <c r="B161" s="150" t="s">
        <v>107</v>
      </c>
      <c r="C161" s="171">
        <f>SUMIF(CCTSAS[Allocation fonctions],B161,CCTSAS[Heures de maladie])+SUMIF(CCTSAS[Allocation fonctions],B161,CCTSAS[Autres absences motivées])</f>
        <v>0</v>
      </c>
      <c r="D161" s="171"/>
      <c r="E161" s="171">
        <f>SUMIF(SalCommune[Allocations fonctions],B161,SalCommune[Heures de maladie])</f>
        <v>0</v>
      </c>
      <c r="F161" s="171">
        <f>SUMIF(SalCommune[Allocations fonctions],B161,SalCommune[Heures de congé de maternité])</f>
        <v>0</v>
      </c>
      <c r="G161" s="174">
        <f t="shared" si="25"/>
        <v>0</v>
      </c>
      <c r="H161" s="97"/>
      <c r="I161" s="97"/>
      <c r="J161" s="97"/>
      <c r="K161" s="98"/>
    </row>
    <row r="162" spans="1:11" x14ac:dyDescent="0.25">
      <c r="A162" s="748"/>
      <c r="B162" s="150" t="s">
        <v>108</v>
      </c>
      <c r="C162" s="171">
        <f>SUMIF(CCTSAS[Allocation fonctions],B162,CCTSAS[Heures de maladie])+SUMIF(CCTSAS[Allocation fonctions],B162,CCTSAS[Autres absences motivées])</f>
        <v>0</v>
      </c>
      <c r="D162" s="171"/>
      <c r="E162" s="171">
        <f>SUMIF(SalCommune[Allocations fonctions],B162,SalCommune[Heures de maladie])</f>
        <v>0</v>
      </c>
      <c r="F162" s="171">
        <f>SUMIF(SalCommune[Allocations fonctions],B162,SalCommune[Heures de congé de maternité])</f>
        <v>0</v>
      </c>
      <c r="G162" s="174">
        <f t="shared" si="25"/>
        <v>0</v>
      </c>
      <c r="H162" s="97"/>
      <c r="I162" s="97"/>
      <c r="J162" s="97"/>
      <c r="K162" s="98"/>
    </row>
    <row r="163" spans="1:11" x14ac:dyDescent="0.25">
      <c r="A163" s="748"/>
      <c r="B163" s="150" t="s">
        <v>109</v>
      </c>
      <c r="C163" s="175">
        <f>SUMIF(CCTSAS[Allocation fonctions],B163,CCTSAS[Heures de maladie])+SUMIF(CCTSAS[Allocation fonctions],B163,CCTSAS[Autres absences motivées])</f>
        <v>0</v>
      </c>
      <c r="D163" s="175"/>
      <c r="E163" s="175">
        <f>SUMIF(SalCommune[Allocations fonctions],B163,SalCommune[Heures de maladie])</f>
        <v>0</v>
      </c>
      <c r="F163" s="175">
        <f>SUMIF(SalCommune[Allocations fonctions],B163,SalCommune[Heures de congé de maternité])</f>
        <v>0</v>
      </c>
      <c r="G163" s="176">
        <f t="shared" si="25"/>
        <v>0</v>
      </c>
      <c r="H163" s="97"/>
      <c r="I163" s="97"/>
      <c r="J163" s="97"/>
      <c r="K163" s="98"/>
    </row>
    <row r="164" spans="1:11" x14ac:dyDescent="0.25">
      <c r="A164" s="748"/>
      <c r="B164" s="150" t="s">
        <v>610</v>
      </c>
      <c r="C164" s="175">
        <f>SUMIF(CCTSAS[Allocation fonctions],B164,CCTSAS[Heures de maladie])+SUMIF(CCTSAS[Allocation fonctions],B164,CCTSAS[Autres absences motivées])</f>
        <v>0</v>
      </c>
      <c r="D164" s="175"/>
      <c r="E164" s="175">
        <f>SUMIF(SalCommune[Allocations fonctions],B164,SalCommune[Heures de maladie])</f>
        <v>0</v>
      </c>
      <c r="F164" s="175">
        <f>SUMIF(SalCommune[Allocations fonctions],B164,SalCommune[Heures de congé de maternité])</f>
        <v>0</v>
      </c>
      <c r="G164" s="176">
        <f t="shared" ref="G164:G167" si="26">SUM(C164:F164)</f>
        <v>0</v>
      </c>
      <c r="H164" s="97"/>
      <c r="I164" s="97"/>
      <c r="J164" s="97"/>
      <c r="K164" s="98"/>
    </row>
    <row r="165" spans="1:11" x14ac:dyDescent="0.25">
      <c r="A165" s="748"/>
      <c r="B165" s="150" t="s">
        <v>627</v>
      </c>
      <c r="C165" s="175">
        <f>SUMIF(CCTSAS[Allocation fonctions],B165,CCTSAS[Heures de maladie])+SUMIF(CCTSAS[Allocation fonctions],B165,CCTSAS[Autres absences motivées])</f>
        <v>0</v>
      </c>
      <c r="D165" s="175"/>
      <c r="E165" s="175">
        <f>SUMIF(SalCommune[Allocations fonctions],B165,SalCommune[Heures de maladie])</f>
        <v>0</v>
      </c>
      <c r="F165" s="175">
        <f>SUMIF(SalCommune[Allocations fonctions],B165,SalCommune[Heures de congé de maternité])</f>
        <v>0</v>
      </c>
      <c r="G165" s="176">
        <f t="shared" si="26"/>
        <v>0</v>
      </c>
      <c r="H165" s="97"/>
      <c r="I165" s="97"/>
      <c r="J165" s="97"/>
      <c r="K165" s="98"/>
    </row>
    <row r="166" spans="1:11" x14ac:dyDescent="0.25">
      <c r="A166" s="748"/>
      <c r="B166" s="150" t="s">
        <v>628</v>
      </c>
      <c r="C166" s="175">
        <f>SUMIF(CCTSAS[Allocation fonctions],B166,CCTSAS[Heures de maladie])+SUMIF(CCTSAS[Allocation fonctions],B166,CCTSAS[Autres absences motivées])</f>
        <v>0</v>
      </c>
      <c r="D166" s="175"/>
      <c r="E166" s="175">
        <f>SUMIF(SalCommune[Allocations fonctions],B166,SalCommune[Heures de maladie])</f>
        <v>0</v>
      </c>
      <c r="F166" s="175">
        <f>SUMIF(SalCommune[Allocations fonctions],B166,SalCommune[Heures de congé de maternité])</f>
        <v>0</v>
      </c>
      <c r="G166" s="176">
        <f t="shared" si="26"/>
        <v>0</v>
      </c>
      <c r="H166" s="97"/>
      <c r="I166" s="97"/>
      <c r="J166" s="97"/>
      <c r="K166" s="98"/>
    </row>
    <row r="167" spans="1:11" x14ac:dyDescent="0.25">
      <c r="A167" s="748"/>
      <c r="B167" s="150" t="s">
        <v>629</v>
      </c>
      <c r="C167" s="175">
        <f>SUMIF(CCTSAS[Allocation fonctions],B167,CCTSAS[Heures de maladie])+SUMIF(CCTSAS[Allocation fonctions],B167,CCTSAS[Autres absences motivées])</f>
        <v>0</v>
      </c>
      <c r="D167" s="175"/>
      <c r="E167" s="175">
        <f>SUMIF(SalCommune[Allocations fonctions],B167,SalCommune[Heures de maladie])</f>
        <v>0</v>
      </c>
      <c r="F167" s="175">
        <f>SUMIF(SalCommune[Allocations fonctions],B167,SalCommune[Heures de congé de maternité])</f>
        <v>0</v>
      </c>
      <c r="G167" s="176">
        <f t="shared" si="26"/>
        <v>0</v>
      </c>
      <c r="H167" s="97"/>
      <c r="I167" s="97"/>
      <c r="J167" s="97"/>
      <c r="K167" s="98"/>
    </row>
    <row r="168" spans="1:11" x14ac:dyDescent="0.25">
      <c r="A168" s="748"/>
      <c r="B168" s="143" t="s">
        <v>567</v>
      </c>
      <c r="C168" s="177">
        <f t="shared" ref="C168:G168" si="27">SUM(C145:C163)</f>
        <v>0</v>
      </c>
      <c r="D168" s="177"/>
      <c r="E168" s="177">
        <f t="shared" si="27"/>
        <v>0</v>
      </c>
      <c r="F168" s="177">
        <f t="shared" si="27"/>
        <v>0</v>
      </c>
      <c r="G168" s="178">
        <f t="shared" si="27"/>
        <v>0</v>
      </c>
      <c r="H168" s="78"/>
      <c r="I168" s="78"/>
      <c r="J168" s="78"/>
      <c r="K168" s="100"/>
    </row>
    <row r="169" spans="1:11" x14ac:dyDescent="0.25">
      <c r="B169" s="140" t="s">
        <v>519</v>
      </c>
      <c r="C169" s="155"/>
      <c r="D169" s="155"/>
      <c r="E169" s="155"/>
      <c r="F169" s="155"/>
      <c r="G169" s="155"/>
      <c r="H169" s="155"/>
      <c r="I169" s="155"/>
      <c r="J169" s="155"/>
      <c r="K169" s="145"/>
    </row>
    <row r="170" spans="1:11" x14ac:dyDescent="0.25">
      <c r="B170" s="93" t="s">
        <v>520</v>
      </c>
      <c r="C170" s="107">
        <f>COUNTA(InformationSEA[Nom])</f>
        <v>0</v>
      </c>
      <c r="D170" s="94" t="s">
        <v>662</v>
      </c>
      <c r="E170" s="488" cm="1">
        <f t="array" ref="E170">SUMPRODUCT((InformationSEA[N° Agrément]&lt;&gt;"")/COUNTIF(InformationSEA[N° Agrément],InformationSEA[N° Agrément]&amp;""))</f>
        <v>0</v>
      </c>
      <c r="F170" s="94"/>
      <c r="G170" s="94"/>
      <c r="H170" s="94"/>
      <c r="I170" s="94"/>
      <c r="J170" s="94"/>
      <c r="K170" s="95"/>
    </row>
    <row r="171" spans="1:11" x14ac:dyDescent="0.25">
      <c r="B171" s="96" t="s">
        <v>515</v>
      </c>
      <c r="C171" s="109">
        <f>'Informations générales 2'!H6</f>
        <v>0</v>
      </c>
      <c r="D171" s="97"/>
      <c r="E171" s="97"/>
      <c r="F171" s="97"/>
      <c r="G171" s="97"/>
      <c r="H171" s="97"/>
      <c r="I171" s="97"/>
      <c r="J171" s="97"/>
      <c r="K171" s="98"/>
    </row>
    <row r="172" spans="1:11" x14ac:dyDescent="0.25">
      <c r="B172" s="99"/>
      <c r="C172" s="78"/>
      <c r="D172" s="78"/>
      <c r="E172" s="78"/>
      <c r="F172" s="78"/>
      <c r="G172" s="78"/>
      <c r="H172" s="78"/>
      <c r="I172" s="78"/>
      <c r="J172" s="78"/>
      <c r="K172" s="100"/>
    </row>
    <row r="173" spans="1:11" x14ac:dyDescent="0.25">
      <c r="B173" s="140" t="s">
        <v>554</v>
      </c>
      <c r="C173" s="155"/>
      <c r="D173" s="155"/>
      <c r="E173" s="155"/>
      <c r="F173" s="155"/>
      <c r="G173" s="155"/>
      <c r="H173" s="155"/>
      <c r="I173" s="155"/>
      <c r="J173" s="155"/>
      <c r="K173" s="145"/>
    </row>
    <row r="174" spans="1:11" x14ac:dyDescent="0.25">
      <c r="B174" s="93" t="s">
        <v>555</v>
      </c>
      <c r="C174" s="107">
        <f>IF(F74=0,0,IF(F27=0,0,F26/F27))</f>
        <v>0</v>
      </c>
      <c r="D174" s="94"/>
      <c r="E174" s="94" t="s">
        <v>560</v>
      </c>
      <c r="F174" s="339">
        <f>IF(C74=0,0,IF(F28&lt;0.75,0,(F26/0.75)*6))</f>
        <v>0</v>
      </c>
      <c r="G174" s="94"/>
      <c r="H174" s="94"/>
      <c r="I174" s="94"/>
      <c r="J174" s="94"/>
      <c r="K174" s="95"/>
    </row>
    <row r="175" spans="1:11" x14ac:dyDescent="0.25">
      <c r="B175" s="96" t="s">
        <v>556</v>
      </c>
      <c r="C175" s="109">
        <f>IF(F74=0,0,IF(F28&lt;0.75,0,F26/0.75))</f>
        <v>0</v>
      </c>
      <c r="D175" s="97"/>
      <c r="E175" s="97" t="s">
        <v>561</v>
      </c>
      <c r="F175" s="340">
        <f>IF(F174=0,0,C72)</f>
        <v>0</v>
      </c>
      <c r="G175" s="97"/>
      <c r="H175" s="97"/>
      <c r="I175" s="97"/>
      <c r="J175" s="97"/>
      <c r="K175" s="98"/>
    </row>
    <row r="176" spans="1:11" x14ac:dyDescent="0.25">
      <c r="B176" s="96" t="s">
        <v>557</v>
      </c>
      <c r="C176" s="109">
        <f>IF(C174=0,0,(C175/C174)+K23+K25)</f>
        <v>0</v>
      </c>
      <c r="D176" s="97"/>
      <c r="E176" s="97" t="str">
        <f>IF(F176=0,"Aucun Dépassement","Dépassement en €")</f>
        <v>Aucun Dépassement</v>
      </c>
      <c r="F176" s="340">
        <f>IF(F174&gt;F175,0,F174-F175)</f>
        <v>0</v>
      </c>
      <c r="G176" s="97"/>
      <c r="H176" s="97"/>
      <c r="I176" s="97"/>
      <c r="J176" s="97"/>
      <c r="K176" s="98"/>
    </row>
    <row r="177" spans="2:11" x14ac:dyDescent="0.25">
      <c r="B177" s="96" t="s">
        <v>558</v>
      </c>
      <c r="C177" s="109">
        <f>IF(F74=0,0,F72)</f>
        <v>0</v>
      </c>
      <c r="D177" s="97"/>
      <c r="E177" s="97"/>
      <c r="F177" s="340"/>
      <c r="G177" s="97"/>
      <c r="H177" s="97"/>
      <c r="I177" s="97"/>
      <c r="J177" s="97"/>
      <c r="K177" s="98"/>
    </row>
    <row r="178" spans="2:11" x14ac:dyDescent="0.25">
      <c r="B178" s="96" t="str">
        <f>IF(C178=0,"Aucun Dépassement","Dépassement en hrs")</f>
        <v>Aucun Dépassement</v>
      </c>
      <c r="C178" s="109">
        <f>IF(C176-C177&gt;0,0,C176-C177)</f>
        <v>0</v>
      </c>
      <c r="D178" s="97"/>
      <c r="E178" s="97"/>
      <c r="F178" s="340"/>
      <c r="G178" s="97"/>
      <c r="H178" s="97"/>
      <c r="I178" s="97"/>
      <c r="J178" s="97"/>
      <c r="K178" s="98"/>
    </row>
    <row r="179" spans="2:11" x14ac:dyDescent="0.25">
      <c r="B179" s="96" t="str">
        <f>IF(C179=0,"Aucun Dépassement","Dépassement en €")</f>
        <v>Aucun Dépassement</v>
      </c>
      <c r="C179" s="331">
        <f>IF(C178=0,0,C178*(SUM(E42:F42)/F72))</f>
        <v>0</v>
      </c>
      <c r="D179" s="97"/>
      <c r="E179" s="97"/>
      <c r="F179" s="340"/>
      <c r="G179" s="97"/>
      <c r="H179" s="97"/>
      <c r="I179" s="97"/>
      <c r="J179" s="97"/>
      <c r="K179" s="98"/>
    </row>
    <row r="180" spans="2:11" x14ac:dyDescent="0.25">
      <c r="B180" s="159" t="s">
        <v>559</v>
      </c>
      <c r="C180" s="160">
        <f>IF(C179=0,C17,F74+C179)</f>
        <v>0</v>
      </c>
      <c r="D180" s="161"/>
      <c r="E180" s="161" t="s">
        <v>559</v>
      </c>
      <c r="F180" s="341">
        <f>IF(F176=0,C18,C74+F176)</f>
        <v>0</v>
      </c>
      <c r="G180" s="78"/>
      <c r="H180" s="78"/>
      <c r="I180" s="78"/>
      <c r="J180" s="78"/>
      <c r="K180" s="100"/>
    </row>
    <row r="181" spans="2:11" hidden="1" x14ac:dyDescent="0.25">
      <c r="B181" s="140" t="s">
        <v>562</v>
      </c>
      <c r="C181" s="133"/>
      <c r="D181" s="133"/>
      <c r="E181" s="133"/>
      <c r="F181" s="133"/>
      <c r="G181" s="133"/>
      <c r="H181" s="133"/>
      <c r="I181" s="133"/>
      <c r="J181" s="133"/>
      <c r="K181" s="134"/>
    </row>
    <row r="182" spans="2:11" hidden="1" x14ac:dyDescent="0.25">
      <c r="B182" s="144" t="s">
        <v>254</v>
      </c>
      <c r="C182" s="144" t="s">
        <v>442</v>
      </c>
      <c r="D182" s="145"/>
      <c r="E182" s="338" t="s">
        <v>443</v>
      </c>
      <c r="F182" s="147" t="s">
        <v>359</v>
      </c>
      <c r="G182" s="147" t="s">
        <v>505</v>
      </c>
      <c r="H182" s="94"/>
      <c r="I182" s="94"/>
      <c r="J182" s="94"/>
      <c r="K182" s="95"/>
    </row>
    <row r="183" spans="2:11" hidden="1" x14ac:dyDescent="0.25">
      <c r="B183" s="148" t="s">
        <v>93</v>
      </c>
      <c r="C183" s="342">
        <f t="shared" ref="C183:C195" si="28">IF($K$43=0,0,$E$18*(C42/$K$43))</f>
        <v>0</v>
      </c>
      <c r="D183" s="342"/>
      <c r="E183" s="342">
        <f>IF($K$42=0,0,$E$17*(E42/$K$42))</f>
        <v>0</v>
      </c>
      <c r="F183" s="342">
        <f>IF($K$42=0,0,$E$17*(F42/$K$42))</f>
        <v>0</v>
      </c>
      <c r="G183" s="343">
        <f>SUM(C183:F183)</f>
        <v>0</v>
      </c>
      <c r="H183" s="97"/>
      <c r="I183" s="97"/>
      <c r="J183" s="97"/>
      <c r="K183" s="98"/>
    </row>
    <row r="184" spans="2:11" hidden="1" x14ac:dyDescent="0.25">
      <c r="B184" s="150" t="s">
        <v>94</v>
      </c>
      <c r="C184" s="344">
        <f t="shared" si="28"/>
        <v>0</v>
      </c>
      <c r="D184" s="344"/>
      <c r="E184" s="344">
        <f t="shared" ref="E184:F195" si="29">IF($K$43=0,0,$E$18*(E43/$K$43))</f>
        <v>0</v>
      </c>
      <c r="F184" s="344">
        <f t="shared" si="29"/>
        <v>0</v>
      </c>
      <c r="G184" s="343">
        <f t="shared" ref="G184:G201" si="30">SUM(C184:F184)</f>
        <v>0</v>
      </c>
      <c r="H184" s="97"/>
      <c r="I184" s="97"/>
      <c r="J184" s="97"/>
      <c r="K184" s="98"/>
    </row>
    <row r="185" spans="2:11" hidden="1" x14ac:dyDescent="0.25">
      <c r="B185" s="150" t="s">
        <v>95</v>
      </c>
      <c r="C185" s="344">
        <f t="shared" si="28"/>
        <v>0</v>
      </c>
      <c r="D185" s="344"/>
      <c r="E185" s="344">
        <f t="shared" si="29"/>
        <v>0</v>
      </c>
      <c r="F185" s="344">
        <f t="shared" si="29"/>
        <v>0</v>
      </c>
      <c r="G185" s="343">
        <f t="shared" si="30"/>
        <v>0</v>
      </c>
      <c r="H185" s="97"/>
      <c r="I185" s="97"/>
      <c r="J185" s="97"/>
      <c r="K185" s="98"/>
    </row>
    <row r="186" spans="2:11" hidden="1" x14ac:dyDescent="0.25">
      <c r="B186" s="150" t="s">
        <v>96</v>
      </c>
      <c r="C186" s="344">
        <f t="shared" si="28"/>
        <v>0</v>
      </c>
      <c r="D186" s="344"/>
      <c r="E186" s="344">
        <f t="shared" si="29"/>
        <v>0</v>
      </c>
      <c r="F186" s="344">
        <f t="shared" si="29"/>
        <v>0</v>
      </c>
      <c r="G186" s="343">
        <f t="shared" si="30"/>
        <v>0</v>
      </c>
      <c r="H186" s="97"/>
      <c r="I186" s="97"/>
      <c r="J186" s="97"/>
      <c r="K186" s="98"/>
    </row>
    <row r="187" spans="2:11" hidden="1" x14ac:dyDescent="0.25">
      <c r="B187" s="150" t="s">
        <v>97</v>
      </c>
      <c r="C187" s="344">
        <f t="shared" si="28"/>
        <v>0</v>
      </c>
      <c r="D187" s="344"/>
      <c r="E187" s="344">
        <f t="shared" si="29"/>
        <v>0</v>
      </c>
      <c r="F187" s="344">
        <f t="shared" si="29"/>
        <v>0</v>
      </c>
      <c r="G187" s="343">
        <f t="shared" si="30"/>
        <v>0</v>
      </c>
      <c r="H187" s="97"/>
      <c r="I187" s="97"/>
      <c r="J187" s="97"/>
      <c r="K187" s="98"/>
    </row>
    <row r="188" spans="2:11" hidden="1" x14ac:dyDescent="0.25">
      <c r="B188" s="150" t="s">
        <v>111</v>
      </c>
      <c r="C188" s="344">
        <f t="shared" si="28"/>
        <v>0</v>
      </c>
      <c r="D188" s="344"/>
      <c r="E188" s="344">
        <f t="shared" si="29"/>
        <v>0</v>
      </c>
      <c r="F188" s="344">
        <f t="shared" si="29"/>
        <v>0</v>
      </c>
      <c r="G188" s="343">
        <f t="shared" si="30"/>
        <v>0</v>
      </c>
      <c r="H188" s="97"/>
      <c r="I188" s="97"/>
      <c r="J188" s="97"/>
      <c r="K188" s="98"/>
    </row>
    <row r="189" spans="2:11" hidden="1" x14ac:dyDescent="0.25">
      <c r="B189" s="150" t="s">
        <v>98</v>
      </c>
      <c r="C189" s="344">
        <f t="shared" si="28"/>
        <v>0</v>
      </c>
      <c r="D189" s="344"/>
      <c r="E189" s="344">
        <f t="shared" si="29"/>
        <v>0</v>
      </c>
      <c r="F189" s="344">
        <f t="shared" si="29"/>
        <v>0</v>
      </c>
      <c r="G189" s="343">
        <f t="shared" si="30"/>
        <v>0</v>
      </c>
      <c r="H189" s="97"/>
      <c r="I189" s="97"/>
      <c r="J189" s="97"/>
      <c r="K189" s="98"/>
    </row>
    <row r="190" spans="2:11" hidden="1" x14ac:dyDescent="0.25">
      <c r="B190" s="150" t="s">
        <v>99</v>
      </c>
      <c r="C190" s="344">
        <f t="shared" si="28"/>
        <v>0</v>
      </c>
      <c r="D190" s="344"/>
      <c r="E190" s="344">
        <f t="shared" si="29"/>
        <v>0</v>
      </c>
      <c r="F190" s="344">
        <f t="shared" si="29"/>
        <v>0</v>
      </c>
      <c r="G190" s="343">
        <f t="shared" si="30"/>
        <v>0</v>
      </c>
      <c r="H190" s="97"/>
      <c r="I190" s="97"/>
      <c r="J190" s="97"/>
      <c r="K190" s="98"/>
    </row>
    <row r="191" spans="2:11" hidden="1" x14ac:dyDescent="0.25">
      <c r="B191" s="150" t="s">
        <v>100</v>
      </c>
      <c r="C191" s="344">
        <f t="shared" si="28"/>
        <v>0</v>
      </c>
      <c r="D191" s="344"/>
      <c r="E191" s="344">
        <f t="shared" si="29"/>
        <v>0</v>
      </c>
      <c r="F191" s="344">
        <f t="shared" si="29"/>
        <v>0</v>
      </c>
      <c r="G191" s="343">
        <f t="shared" si="30"/>
        <v>0</v>
      </c>
      <c r="H191" s="97"/>
      <c r="I191" s="97"/>
      <c r="J191" s="97"/>
      <c r="K191" s="98"/>
    </row>
    <row r="192" spans="2:11" hidden="1" x14ac:dyDescent="0.25">
      <c r="B192" s="150" t="s">
        <v>101</v>
      </c>
      <c r="C192" s="344">
        <f t="shared" si="28"/>
        <v>0</v>
      </c>
      <c r="D192" s="344"/>
      <c r="E192" s="344">
        <f t="shared" si="29"/>
        <v>0</v>
      </c>
      <c r="F192" s="344">
        <f t="shared" si="29"/>
        <v>0</v>
      </c>
      <c r="G192" s="343">
        <f t="shared" si="30"/>
        <v>0</v>
      </c>
      <c r="H192" s="97"/>
      <c r="I192" s="97"/>
      <c r="J192" s="97"/>
      <c r="K192" s="98"/>
    </row>
    <row r="193" spans="2:11" hidden="1" x14ac:dyDescent="0.25">
      <c r="B193" s="150" t="s">
        <v>102</v>
      </c>
      <c r="C193" s="344">
        <f t="shared" si="28"/>
        <v>0</v>
      </c>
      <c r="D193" s="344"/>
      <c r="E193" s="344">
        <f t="shared" si="29"/>
        <v>0</v>
      </c>
      <c r="F193" s="344">
        <f t="shared" si="29"/>
        <v>0</v>
      </c>
      <c r="G193" s="343">
        <f t="shared" si="30"/>
        <v>0</v>
      </c>
      <c r="H193" s="97"/>
      <c r="I193" s="97"/>
      <c r="J193" s="97"/>
      <c r="K193" s="98"/>
    </row>
    <row r="194" spans="2:11" hidden="1" x14ac:dyDescent="0.25">
      <c r="B194" s="150" t="s">
        <v>103</v>
      </c>
      <c r="C194" s="344">
        <f t="shared" si="28"/>
        <v>0</v>
      </c>
      <c r="D194" s="344"/>
      <c r="E194" s="344">
        <f t="shared" si="29"/>
        <v>0</v>
      </c>
      <c r="F194" s="344">
        <f t="shared" si="29"/>
        <v>0</v>
      </c>
      <c r="G194" s="343">
        <f t="shared" si="30"/>
        <v>0</v>
      </c>
      <c r="H194" s="97"/>
      <c r="I194" s="97"/>
      <c r="J194" s="97"/>
      <c r="K194" s="98"/>
    </row>
    <row r="195" spans="2:11" hidden="1" x14ac:dyDescent="0.25">
      <c r="B195" s="150" t="s">
        <v>638</v>
      </c>
      <c r="C195" s="344">
        <f t="shared" si="28"/>
        <v>0</v>
      </c>
      <c r="D195" s="344"/>
      <c r="E195" s="344">
        <f t="shared" si="29"/>
        <v>0</v>
      </c>
      <c r="F195" s="344">
        <f t="shared" si="29"/>
        <v>0</v>
      </c>
      <c r="G195" s="343">
        <f t="shared" si="30"/>
        <v>0</v>
      </c>
      <c r="H195" s="97"/>
      <c r="I195" s="97"/>
      <c r="J195" s="97"/>
      <c r="K195" s="98"/>
    </row>
    <row r="196" spans="2:11" hidden="1" x14ac:dyDescent="0.25">
      <c r="B196" s="150" t="s">
        <v>637</v>
      </c>
      <c r="C196" s="344">
        <f>IF($K$43=0,0,IF(SUM($G$56:$G$57)=0,0,$E$18*((C56-($C$80*(C56/SUM($G$56:$G$57))/$K$43)))))</f>
        <v>0</v>
      </c>
      <c r="D196" s="344"/>
      <c r="E196" s="344">
        <f>IF($K$43=0,0,IF(SUM($G$56:$G$57)=0,0,$E$18*((E56-($C$80*(E56/SUM($G$56:$G$57))/$K$43)))))</f>
        <v>0</v>
      </c>
      <c r="F196" s="344">
        <f>IF($K$43=0,0,IF(SUM($G$56:$G$57)=0,0,$E$18*((F56-($C$80*(F56/SUM($G$56:$G$57))/$K$43)))))</f>
        <v>0</v>
      </c>
      <c r="G196" s="343">
        <f t="shared" si="30"/>
        <v>0</v>
      </c>
      <c r="H196" s="97"/>
      <c r="I196" s="97"/>
      <c r="J196" s="97"/>
      <c r="K196" s="98"/>
    </row>
    <row r="197" spans="2:11" hidden="1" x14ac:dyDescent="0.25">
      <c r="B197" s="150" t="s">
        <v>105</v>
      </c>
      <c r="C197" s="344">
        <f>IF($K$43=0,0,IF(SUM($G$56:$G$57)=0,0,$E$18*((C57-($C$80*(C57/SUM($G$56:$G$57))/$K$43)))))</f>
        <v>0</v>
      </c>
      <c r="D197" s="344"/>
      <c r="E197" s="344">
        <f>IF($K$43=0,0,IF(SUM($G$56:$G$57)=0,0,$E$18*((E57-($C$80*(E57/SUM($G$56:$G$57))/$K$43)))))</f>
        <v>0</v>
      </c>
      <c r="F197" s="344">
        <f>IF($K$43=0,0,IF(SUM($G$56:$G$57)=0,0,$E$18*((F57-($C$80*(F57/SUM($G$56:$G$57))/$K$43)))))</f>
        <v>0</v>
      </c>
      <c r="G197" s="343">
        <f t="shared" si="30"/>
        <v>0</v>
      </c>
      <c r="H197" s="97"/>
      <c r="I197" s="97"/>
      <c r="J197" s="97"/>
      <c r="K197" s="98"/>
    </row>
    <row r="198" spans="2:11" hidden="1" x14ac:dyDescent="0.25">
      <c r="B198" s="150" t="s">
        <v>106</v>
      </c>
      <c r="C198" s="344">
        <f>IF($K$43=0,0,IF(SUM($G$58:$G$59)=0,0,$E$18*((C58-($C$81*(C58/SUM($G$58:$G$59))/$K$43)))))</f>
        <v>0</v>
      </c>
      <c r="D198" s="344"/>
      <c r="E198" s="344">
        <f t="shared" ref="E198:F200" si="31">IF($K$43=0,0,$E$18*(E58/$K$43))</f>
        <v>0</v>
      </c>
      <c r="F198" s="344">
        <f t="shared" si="31"/>
        <v>0</v>
      </c>
      <c r="G198" s="343">
        <f t="shared" si="30"/>
        <v>0</v>
      </c>
      <c r="H198" s="97"/>
      <c r="I198" s="97"/>
      <c r="J198" s="97"/>
      <c r="K198" s="98"/>
    </row>
    <row r="199" spans="2:11" hidden="1" x14ac:dyDescent="0.25">
      <c r="B199" s="150" t="s">
        <v>107</v>
      </c>
      <c r="C199" s="344">
        <f>IF($K$43=0,0,IF(SUM($G$56:$G$57)=0,0,$E$18*((C59-($C$80*(C59/SUM($G$56:$G$57))/$K$43)))))</f>
        <v>0</v>
      </c>
      <c r="D199" s="344"/>
      <c r="E199" s="344">
        <f t="shared" si="31"/>
        <v>0</v>
      </c>
      <c r="F199" s="344">
        <f t="shared" si="31"/>
        <v>0</v>
      </c>
      <c r="G199" s="343">
        <f t="shared" si="30"/>
        <v>0</v>
      </c>
      <c r="H199" s="97"/>
      <c r="I199" s="97"/>
      <c r="J199" s="97"/>
      <c r="K199" s="98"/>
    </row>
    <row r="200" spans="2:11" hidden="1" x14ac:dyDescent="0.25">
      <c r="B200" s="150" t="s">
        <v>108</v>
      </c>
      <c r="C200" s="344">
        <f>IF($K$43=0,0,IF($G$60=0,0,$E$18*((C60-($C$82*(C60/$G$60)/$K$43)))))</f>
        <v>0</v>
      </c>
      <c r="D200" s="344"/>
      <c r="E200" s="344">
        <f t="shared" si="31"/>
        <v>0</v>
      </c>
      <c r="F200" s="344">
        <f t="shared" si="31"/>
        <v>0</v>
      </c>
      <c r="G200" s="343">
        <f t="shared" si="30"/>
        <v>0</v>
      </c>
      <c r="H200" s="97"/>
      <c r="I200" s="97"/>
      <c r="J200" s="97"/>
      <c r="K200" s="98"/>
    </row>
    <row r="201" spans="2:11" hidden="1" x14ac:dyDescent="0.25">
      <c r="B201" s="150" t="s">
        <v>109</v>
      </c>
      <c r="C201" s="344">
        <f>IF(K45=0,0,E20)</f>
        <v>0</v>
      </c>
      <c r="D201" s="345"/>
      <c r="E201" s="344">
        <f>IF($K$44=0,0,$E$19*(E61/$K$44))</f>
        <v>0</v>
      </c>
      <c r="F201" s="344">
        <f>IF($K$44=0,0,$E$19*(F61/$K$44))</f>
        <v>0</v>
      </c>
      <c r="G201" s="343">
        <f t="shared" si="30"/>
        <v>0</v>
      </c>
      <c r="H201" s="97"/>
      <c r="I201" s="97"/>
      <c r="J201" s="97"/>
      <c r="K201" s="98"/>
    </row>
    <row r="202" spans="2:11" hidden="1" x14ac:dyDescent="0.25">
      <c r="B202" s="150" t="s">
        <v>610</v>
      </c>
      <c r="C202" s="340"/>
      <c r="D202" s="499"/>
      <c r="E202" s="340"/>
      <c r="F202" s="340"/>
      <c r="G202" s="340"/>
      <c r="H202" s="97"/>
      <c r="I202" s="97"/>
      <c r="J202" s="97"/>
      <c r="K202" s="98"/>
    </row>
    <row r="203" spans="2:11" hidden="1" x14ac:dyDescent="0.25">
      <c r="B203" s="150" t="s">
        <v>627</v>
      </c>
      <c r="C203" s="340"/>
      <c r="D203" s="499"/>
      <c r="E203" s="340"/>
      <c r="F203" s="340"/>
      <c r="G203" s="340"/>
      <c r="H203" s="97"/>
      <c r="I203" s="97"/>
      <c r="J203" s="97"/>
      <c r="K203" s="98"/>
    </row>
    <row r="204" spans="2:11" hidden="1" x14ac:dyDescent="0.25">
      <c r="B204" s="150" t="s">
        <v>628</v>
      </c>
      <c r="C204" s="340"/>
      <c r="D204" s="499"/>
      <c r="E204" s="340"/>
      <c r="F204" s="340"/>
      <c r="G204" s="340"/>
      <c r="H204" s="97"/>
      <c r="I204" s="97"/>
      <c r="J204" s="97"/>
      <c r="K204" s="98"/>
    </row>
    <row r="205" spans="2:11" hidden="1" x14ac:dyDescent="0.25">
      <c r="B205" s="150" t="s">
        <v>629</v>
      </c>
      <c r="C205" s="340"/>
      <c r="D205" s="499"/>
      <c r="E205" s="340"/>
      <c r="F205" s="340"/>
      <c r="G205" s="340"/>
      <c r="H205" s="97"/>
      <c r="I205" s="97"/>
      <c r="J205" s="97"/>
      <c r="K205" s="98"/>
    </row>
    <row r="206" spans="2:11" hidden="1" x14ac:dyDescent="0.25">
      <c r="B206" s="327" t="s">
        <v>31</v>
      </c>
      <c r="C206" s="346">
        <f>SUM(C183:C201)</f>
        <v>0</v>
      </c>
      <c r="D206" s="346"/>
      <c r="E206" s="346">
        <f t="shared" ref="E206:G206" si="32">SUM(E183:E201)</f>
        <v>0</v>
      </c>
      <c r="F206" s="346">
        <f t="shared" si="32"/>
        <v>0</v>
      </c>
      <c r="G206" s="346">
        <f t="shared" si="32"/>
        <v>0</v>
      </c>
      <c r="H206" s="78"/>
      <c r="I206" s="78"/>
      <c r="J206" s="97"/>
      <c r="K206" s="98"/>
    </row>
    <row r="207" spans="2:11" x14ac:dyDescent="0.25">
      <c r="B207" s="433" t="s">
        <v>664</v>
      </c>
      <c r="C207" s="94" t="s">
        <v>663</v>
      </c>
      <c r="D207" s="149">
        <f>SUMIF(RecettesInterne[Fonction],C207,RecettesInterne[Recettes])</f>
        <v>0</v>
      </c>
      <c r="E207" s="489" t="s">
        <v>657</v>
      </c>
      <c r="F207" s="149">
        <f>SUMIF(VariablesInternes[Fonction],E207,VariablesInternes[FF])</f>
        <v>0</v>
      </c>
      <c r="G207" s="2" t="s">
        <v>689</v>
      </c>
      <c r="H207" s="489">
        <f>'Informations générales 3'!C32*(VLOOKUP('Informations générales 3'!C32,Table9[[#All],[HEB]:[taux]],2,TRUE))</f>
        <v>0</v>
      </c>
      <c r="I207" s="94"/>
      <c r="J207" s="489" t="s">
        <v>691</v>
      </c>
      <c r="K207" s="124">
        <f>IF(H208&lt;H207,0,H208-H207)</f>
        <v>0</v>
      </c>
    </row>
    <row r="208" spans="2:11" x14ac:dyDescent="0.25">
      <c r="B208" s="449"/>
      <c r="C208" s="450" t="s">
        <v>665</v>
      </c>
      <c r="D208" s="492">
        <f>SUMIF(InformationSEA[Nom],"*UKR*",InformationSEA[HPE réelles 2024])</f>
        <v>0</v>
      </c>
      <c r="E208" s="490" t="s">
        <v>666</v>
      </c>
      <c r="F208" s="493">
        <f>E233+G233</f>
        <v>0</v>
      </c>
      <c r="G208" s="2" t="s">
        <v>690</v>
      </c>
      <c r="H208" s="490">
        <f>D259+F259</f>
        <v>0</v>
      </c>
      <c r="I208" s="78"/>
      <c r="J208" s="491" t="s">
        <v>692</v>
      </c>
      <c r="K208" s="503">
        <f>IF(K207=0,0,K207*((F233+H233)/H208))</f>
        <v>0</v>
      </c>
    </row>
    <row r="209" spans="2:11" x14ac:dyDescent="0.25">
      <c r="B209" s="144" t="s">
        <v>591</v>
      </c>
      <c r="C209" s="144" t="s">
        <v>592</v>
      </c>
      <c r="D209" s="145" t="s">
        <v>119</v>
      </c>
      <c r="E209" s="442" t="s">
        <v>660</v>
      </c>
      <c r="F209" s="147" t="s">
        <v>661</v>
      </c>
      <c r="G209" s="442" t="s">
        <v>658</v>
      </c>
      <c r="H209" s="147" t="s">
        <v>659</v>
      </c>
      <c r="I209" s="97"/>
      <c r="J209" s="97"/>
      <c r="K209" s="98"/>
    </row>
    <row r="210" spans="2:11" x14ac:dyDescent="0.25">
      <c r="B210" s="148" t="s">
        <v>569</v>
      </c>
      <c r="C210" s="342" t="s">
        <v>93</v>
      </c>
      <c r="D210" s="342">
        <f>'Variable et Dropdowns'!Y2</f>
        <v>0</v>
      </c>
      <c r="E210" s="342">
        <f>'Variable et Dropdowns'!Z2</f>
        <v>0</v>
      </c>
      <c r="F210" s="342">
        <f>'Variable et Dropdowns'!AA2</f>
        <v>0</v>
      </c>
      <c r="G210" s="343">
        <f>'Variable et Dropdowns'!AB2</f>
        <v>0</v>
      </c>
      <c r="H210" s="421">
        <f>'Variable et Dropdowns'!AC2</f>
        <v>0</v>
      </c>
      <c r="I210" s="97"/>
      <c r="J210" s="97"/>
      <c r="K210" s="98"/>
    </row>
    <row r="211" spans="2:11" x14ac:dyDescent="0.25">
      <c r="B211" s="150" t="s">
        <v>570</v>
      </c>
      <c r="C211" s="344" t="s">
        <v>94</v>
      </c>
      <c r="D211" s="344">
        <f>'Variable et Dropdowns'!Y3</f>
        <v>0</v>
      </c>
      <c r="E211" s="344">
        <f>'Variable et Dropdowns'!Z3</f>
        <v>0</v>
      </c>
      <c r="F211" s="344">
        <f>'Variable et Dropdowns'!AA3</f>
        <v>0</v>
      </c>
      <c r="G211" s="343">
        <f>'Variable et Dropdowns'!AB3</f>
        <v>0</v>
      </c>
      <c r="H211" s="422">
        <f>'Variable et Dropdowns'!AC3</f>
        <v>0</v>
      </c>
      <c r="I211" s="97"/>
      <c r="J211" s="97"/>
      <c r="K211" s="98"/>
    </row>
    <row r="212" spans="2:11" x14ac:dyDescent="0.25">
      <c r="B212" s="150" t="s">
        <v>571</v>
      </c>
      <c r="C212" s="344" t="s">
        <v>95</v>
      </c>
      <c r="D212" s="344">
        <f>'Variable et Dropdowns'!Y4</f>
        <v>0</v>
      </c>
      <c r="E212" s="344">
        <f>'Variable et Dropdowns'!Z4</f>
        <v>0</v>
      </c>
      <c r="F212" s="344">
        <f>'Variable et Dropdowns'!AA4</f>
        <v>0</v>
      </c>
      <c r="G212" s="343">
        <f>'Variable et Dropdowns'!AB4</f>
        <v>0</v>
      </c>
      <c r="H212" s="422">
        <f>'Variable et Dropdowns'!AC4</f>
        <v>0</v>
      </c>
      <c r="I212" s="97"/>
      <c r="J212" s="97"/>
      <c r="K212" s="98"/>
    </row>
    <row r="213" spans="2:11" x14ac:dyDescent="0.25">
      <c r="B213" s="150" t="s">
        <v>572</v>
      </c>
      <c r="C213" s="344" t="s">
        <v>96</v>
      </c>
      <c r="D213" s="344">
        <f>'Variable et Dropdowns'!Y5</f>
        <v>0</v>
      </c>
      <c r="E213" s="344">
        <f>'Variable et Dropdowns'!Z5</f>
        <v>0</v>
      </c>
      <c r="F213" s="344">
        <f>'Variable et Dropdowns'!AA5</f>
        <v>0</v>
      </c>
      <c r="G213" s="343">
        <f>'Variable et Dropdowns'!AB5</f>
        <v>0</v>
      </c>
      <c r="H213" s="422">
        <f>'Variable et Dropdowns'!AC5</f>
        <v>0</v>
      </c>
      <c r="I213" s="97"/>
      <c r="J213" s="97"/>
      <c r="K213" s="98"/>
    </row>
    <row r="214" spans="2:11" x14ac:dyDescent="0.25">
      <c r="B214" s="150" t="s">
        <v>573</v>
      </c>
      <c r="C214" s="344" t="s">
        <v>97</v>
      </c>
      <c r="D214" s="344">
        <f>'Variable et Dropdowns'!Y6</f>
        <v>0</v>
      </c>
      <c r="E214" s="344">
        <f>'Variable et Dropdowns'!Z6</f>
        <v>0</v>
      </c>
      <c r="F214" s="344">
        <f>'Variable et Dropdowns'!AA6</f>
        <v>0</v>
      </c>
      <c r="G214" s="343">
        <f>'Variable et Dropdowns'!AB6</f>
        <v>0</v>
      </c>
      <c r="H214" s="422">
        <f>'Variable et Dropdowns'!AC6</f>
        <v>0</v>
      </c>
      <c r="I214" s="97"/>
      <c r="J214" s="97"/>
      <c r="K214" s="98"/>
    </row>
    <row r="215" spans="2:11" x14ac:dyDescent="0.25">
      <c r="B215" s="150" t="s">
        <v>574</v>
      </c>
      <c r="C215" s="344" t="s">
        <v>111</v>
      </c>
      <c r="D215" s="344">
        <f>'Variable et Dropdowns'!Y7</f>
        <v>0</v>
      </c>
      <c r="E215" s="344">
        <f>'Variable et Dropdowns'!Z7</f>
        <v>0</v>
      </c>
      <c r="F215" s="344">
        <f>'Variable et Dropdowns'!AA7</f>
        <v>0</v>
      </c>
      <c r="G215" s="343">
        <f>'Variable et Dropdowns'!AB7</f>
        <v>0</v>
      </c>
      <c r="H215" s="422">
        <f>'Variable et Dropdowns'!AC7</f>
        <v>0</v>
      </c>
      <c r="I215" s="97"/>
      <c r="J215" s="97"/>
      <c r="K215" s="98"/>
    </row>
    <row r="216" spans="2:11" x14ac:dyDescent="0.25">
      <c r="B216" s="150" t="s">
        <v>575</v>
      </c>
      <c r="C216" s="344" t="s">
        <v>98</v>
      </c>
      <c r="D216" s="344">
        <f>'Variable et Dropdowns'!Y8</f>
        <v>0</v>
      </c>
      <c r="E216" s="344">
        <f>'Variable et Dropdowns'!Z8</f>
        <v>0</v>
      </c>
      <c r="F216" s="344">
        <f>'Variable et Dropdowns'!AA8</f>
        <v>0</v>
      </c>
      <c r="G216" s="343">
        <f>'Variable et Dropdowns'!AB8</f>
        <v>0</v>
      </c>
      <c r="H216" s="422">
        <f>'Variable et Dropdowns'!AC8</f>
        <v>0</v>
      </c>
      <c r="I216" s="97"/>
      <c r="J216" s="97"/>
      <c r="K216" s="98"/>
    </row>
    <row r="217" spans="2:11" x14ac:dyDescent="0.25">
      <c r="B217" s="150" t="s">
        <v>576</v>
      </c>
      <c r="C217" s="344" t="s">
        <v>99</v>
      </c>
      <c r="D217" s="344">
        <f>'Variable et Dropdowns'!Y9</f>
        <v>0</v>
      </c>
      <c r="E217" s="344">
        <f>'Variable et Dropdowns'!Z9</f>
        <v>0</v>
      </c>
      <c r="F217" s="344">
        <f>'Variable et Dropdowns'!AA9</f>
        <v>0</v>
      </c>
      <c r="G217" s="343">
        <f>'Variable et Dropdowns'!AB9</f>
        <v>0</v>
      </c>
      <c r="H217" s="422">
        <f>'Variable et Dropdowns'!AC9</f>
        <v>0</v>
      </c>
      <c r="I217" s="97"/>
      <c r="J217" s="97"/>
      <c r="K217" s="98"/>
    </row>
    <row r="218" spans="2:11" x14ac:dyDescent="0.25">
      <c r="B218" s="150" t="s">
        <v>577</v>
      </c>
      <c r="C218" s="344" t="s">
        <v>100</v>
      </c>
      <c r="D218" s="344">
        <f>'Variable et Dropdowns'!Y10</f>
        <v>0</v>
      </c>
      <c r="E218" s="344">
        <f>'Variable et Dropdowns'!Z10</f>
        <v>0</v>
      </c>
      <c r="F218" s="344">
        <f>'Variable et Dropdowns'!AA10</f>
        <v>0</v>
      </c>
      <c r="G218" s="343">
        <f>'Variable et Dropdowns'!AB10</f>
        <v>0</v>
      </c>
      <c r="H218" s="422">
        <f>'Variable et Dropdowns'!AC10</f>
        <v>0</v>
      </c>
      <c r="I218" s="97"/>
      <c r="J218" s="97"/>
      <c r="K218" s="98"/>
    </row>
    <row r="219" spans="2:11" x14ac:dyDescent="0.25">
      <c r="B219" s="150" t="s">
        <v>578</v>
      </c>
      <c r="C219" s="344" t="s">
        <v>101</v>
      </c>
      <c r="D219" s="344">
        <f>'Variable et Dropdowns'!Y11</f>
        <v>0</v>
      </c>
      <c r="E219" s="344">
        <f>'Variable et Dropdowns'!Z11</f>
        <v>0</v>
      </c>
      <c r="F219" s="344">
        <f>'Variable et Dropdowns'!AA11</f>
        <v>0</v>
      </c>
      <c r="G219" s="343">
        <f>'Variable et Dropdowns'!AB11</f>
        <v>0</v>
      </c>
      <c r="H219" s="422">
        <f>'Variable et Dropdowns'!AC11</f>
        <v>0</v>
      </c>
      <c r="I219" s="97"/>
      <c r="J219" s="97"/>
      <c r="K219" s="98"/>
    </row>
    <row r="220" spans="2:11" x14ac:dyDescent="0.25">
      <c r="B220" s="150" t="s">
        <v>579</v>
      </c>
      <c r="C220" s="344" t="s">
        <v>102</v>
      </c>
      <c r="D220" s="344">
        <f>'Variable et Dropdowns'!Y12</f>
        <v>0</v>
      </c>
      <c r="E220" s="344">
        <f>'Variable et Dropdowns'!Z12</f>
        <v>0</v>
      </c>
      <c r="F220" s="344">
        <f>'Variable et Dropdowns'!AA12</f>
        <v>0</v>
      </c>
      <c r="G220" s="343">
        <f>'Variable et Dropdowns'!AB12</f>
        <v>0</v>
      </c>
      <c r="H220" s="422">
        <f>'Variable et Dropdowns'!AC12</f>
        <v>0</v>
      </c>
      <c r="I220" s="97"/>
      <c r="J220" s="97"/>
      <c r="K220" s="98"/>
    </row>
    <row r="221" spans="2:11" x14ac:dyDescent="0.25">
      <c r="B221" s="150" t="s">
        <v>580</v>
      </c>
      <c r="C221" s="344" t="s">
        <v>103</v>
      </c>
      <c r="D221" s="344">
        <f>'Variable et Dropdowns'!Y13</f>
        <v>0</v>
      </c>
      <c r="E221" s="344">
        <f>'Variable et Dropdowns'!Z13</f>
        <v>0</v>
      </c>
      <c r="F221" s="344">
        <f>'Variable et Dropdowns'!AA13</f>
        <v>0</v>
      </c>
      <c r="G221" s="343">
        <f>'Variable et Dropdowns'!AB13</f>
        <v>0</v>
      </c>
      <c r="H221" s="422">
        <f>'Variable et Dropdowns'!AC13</f>
        <v>0</v>
      </c>
      <c r="I221" s="97"/>
      <c r="J221" s="97"/>
      <c r="K221" s="98"/>
    </row>
    <row r="222" spans="2:11" x14ac:dyDescent="0.25">
      <c r="B222" s="150" t="s">
        <v>581</v>
      </c>
      <c r="C222" s="344" t="s">
        <v>638</v>
      </c>
      <c r="D222" s="344">
        <f>'Variable et Dropdowns'!Y14</f>
        <v>0</v>
      </c>
      <c r="E222" s="344">
        <f>'Variable et Dropdowns'!Z14</f>
        <v>0</v>
      </c>
      <c r="F222" s="344">
        <f>'Variable et Dropdowns'!AA14</f>
        <v>0</v>
      </c>
      <c r="G222" s="343">
        <f>'Variable et Dropdowns'!AB14</f>
        <v>0</v>
      </c>
      <c r="H222" s="422">
        <f>'Variable et Dropdowns'!AC14</f>
        <v>0</v>
      </c>
      <c r="I222" s="97"/>
      <c r="J222" s="97"/>
      <c r="K222" s="98"/>
    </row>
    <row r="223" spans="2:11" x14ac:dyDescent="0.25">
      <c r="B223" s="389" t="s">
        <v>582</v>
      </c>
      <c r="C223" s="344" t="s">
        <v>637</v>
      </c>
      <c r="D223" s="344">
        <f>'Variable et Dropdowns'!Y15</f>
        <v>0</v>
      </c>
      <c r="E223" s="344">
        <f>'Variable et Dropdowns'!Z15</f>
        <v>0</v>
      </c>
      <c r="F223" s="344">
        <f>'Variable et Dropdowns'!AA15</f>
        <v>0</v>
      </c>
      <c r="G223" s="343">
        <f>'Variable et Dropdowns'!AB15</f>
        <v>0</v>
      </c>
      <c r="H223" s="423">
        <f>'Variable et Dropdowns'!AC15</f>
        <v>0</v>
      </c>
      <c r="I223" s="97"/>
      <c r="J223" s="97"/>
      <c r="K223" s="98"/>
    </row>
    <row r="224" spans="2:11" x14ac:dyDescent="0.25">
      <c r="B224" s="389" t="s">
        <v>585</v>
      </c>
      <c r="C224" s="344" t="s">
        <v>105</v>
      </c>
      <c r="D224" s="344">
        <f>'Variable et Dropdowns'!Y16</f>
        <v>0</v>
      </c>
      <c r="E224" s="344">
        <f>'Variable et Dropdowns'!Z16</f>
        <v>0</v>
      </c>
      <c r="F224" s="344">
        <f>'Variable et Dropdowns'!AA16</f>
        <v>0</v>
      </c>
      <c r="G224" s="343">
        <f>'Variable et Dropdowns'!AB16</f>
        <v>0</v>
      </c>
      <c r="H224" s="423">
        <f>'Variable et Dropdowns'!AC16</f>
        <v>0</v>
      </c>
      <c r="I224" s="97"/>
      <c r="J224" s="97"/>
      <c r="K224" s="98"/>
    </row>
    <row r="225" spans="2:11" x14ac:dyDescent="0.25">
      <c r="B225" s="389" t="s">
        <v>583</v>
      </c>
      <c r="C225" s="344" t="s">
        <v>106</v>
      </c>
      <c r="D225" s="344">
        <f>'Variable et Dropdowns'!Y17</f>
        <v>0</v>
      </c>
      <c r="E225" s="344">
        <f>'Variable et Dropdowns'!Z17</f>
        <v>0</v>
      </c>
      <c r="F225" s="344">
        <f>'Variable et Dropdowns'!AA17</f>
        <v>0</v>
      </c>
      <c r="G225" s="343">
        <f>'Variable et Dropdowns'!AB17</f>
        <v>0</v>
      </c>
      <c r="H225" s="423">
        <f>'Variable et Dropdowns'!AC17</f>
        <v>0</v>
      </c>
      <c r="I225" s="97"/>
      <c r="J225" s="97"/>
      <c r="K225" s="98"/>
    </row>
    <row r="226" spans="2:11" x14ac:dyDescent="0.25">
      <c r="B226" s="389" t="s">
        <v>586</v>
      </c>
      <c r="C226" s="344" t="s">
        <v>107</v>
      </c>
      <c r="D226" s="344">
        <f>'Variable et Dropdowns'!Y18</f>
        <v>0</v>
      </c>
      <c r="E226" s="344">
        <f>'Variable et Dropdowns'!Z18</f>
        <v>0</v>
      </c>
      <c r="F226" s="344">
        <f>'Variable et Dropdowns'!AA18</f>
        <v>0</v>
      </c>
      <c r="G226" s="343">
        <f>'Variable et Dropdowns'!AB18</f>
        <v>0</v>
      </c>
      <c r="H226" s="423">
        <f>'Variable et Dropdowns'!AC18</f>
        <v>0</v>
      </c>
      <c r="I226" s="97"/>
      <c r="J226" s="97"/>
      <c r="K226" s="98"/>
    </row>
    <row r="227" spans="2:11" x14ac:dyDescent="0.25">
      <c r="B227" s="389" t="s">
        <v>584</v>
      </c>
      <c r="C227" s="344" t="s">
        <v>108</v>
      </c>
      <c r="D227" s="344">
        <f>'Variable et Dropdowns'!Y19</f>
        <v>0</v>
      </c>
      <c r="E227" s="344">
        <f>'Variable et Dropdowns'!Z19</f>
        <v>0</v>
      </c>
      <c r="F227" s="344">
        <f>'Variable et Dropdowns'!AA19</f>
        <v>0</v>
      </c>
      <c r="G227" s="343">
        <f>'Variable et Dropdowns'!AB19</f>
        <v>0</v>
      </c>
      <c r="H227" s="423">
        <f>'Variable et Dropdowns'!AC19</f>
        <v>0</v>
      </c>
      <c r="I227" s="97"/>
      <c r="J227" s="97"/>
      <c r="K227" s="98"/>
    </row>
    <row r="228" spans="2:11" x14ac:dyDescent="0.25">
      <c r="B228" s="390" t="s">
        <v>611</v>
      </c>
      <c r="C228" s="345" t="s">
        <v>109</v>
      </c>
      <c r="D228" s="345">
        <f>'Variable et Dropdowns'!Y20</f>
        <v>0</v>
      </c>
      <c r="E228" s="344">
        <f>'Variable et Dropdowns'!Z20</f>
        <v>0</v>
      </c>
      <c r="F228" s="344">
        <f>'Variable et Dropdowns'!AA20</f>
        <v>0</v>
      </c>
      <c r="G228" s="343">
        <f>'Variable et Dropdowns'!AB20</f>
        <v>0</v>
      </c>
      <c r="H228" s="424">
        <f>'Variable et Dropdowns'!AC20</f>
        <v>0</v>
      </c>
      <c r="I228" s="97"/>
      <c r="J228" s="97"/>
      <c r="K228" s="98"/>
    </row>
    <row r="229" spans="2:11" x14ac:dyDescent="0.25">
      <c r="B229" s="498"/>
      <c r="C229" s="499" t="s">
        <v>610</v>
      </c>
      <c r="D229" s="345">
        <f>'Variable et Dropdowns'!Y21</f>
        <v>0</v>
      </c>
      <c r="E229" s="344">
        <f>'Variable et Dropdowns'!Z21</f>
        <v>0</v>
      </c>
      <c r="F229" s="344">
        <f>'Variable et Dropdowns'!AA21</f>
        <v>0</v>
      </c>
      <c r="G229" s="343">
        <f>'Variable et Dropdowns'!AB21</f>
        <v>0</v>
      </c>
      <c r="H229" s="424">
        <f>'Variable et Dropdowns'!AC21</f>
        <v>0</v>
      </c>
      <c r="I229" s="97"/>
      <c r="J229" s="97"/>
      <c r="K229" s="98"/>
    </row>
    <row r="230" spans="2:11" x14ac:dyDescent="0.25">
      <c r="B230" s="498"/>
      <c r="C230" s="499" t="s">
        <v>627</v>
      </c>
      <c r="D230" s="345">
        <f>'Variable et Dropdowns'!Y22</f>
        <v>0</v>
      </c>
      <c r="E230" s="344">
        <f>'Variable et Dropdowns'!Z22</f>
        <v>0</v>
      </c>
      <c r="F230" s="344">
        <f>'Variable et Dropdowns'!AA22</f>
        <v>0</v>
      </c>
      <c r="G230" s="343">
        <f>'Variable et Dropdowns'!AB22</f>
        <v>0</v>
      </c>
      <c r="H230" s="424">
        <f>'Variable et Dropdowns'!AC22</f>
        <v>0</v>
      </c>
      <c r="I230" s="97"/>
      <c r="J230" s="97"/>
      <c r="K230" s="98"/>
    </row>
    <row r="231" spans="2:11" x14ac:dyDescent="0.25">
      <c r="B231" s="498"/>
      <c r="C231" s="499" t="s">
        <v>628</v>
      </c>
      <c r="D231" s="345">
        <f>'Variable et Dropdowns'!Y23</f>
        <v>0</v>
      </c>
      <c r="E231" s="344">
        <f>'Variable et Dropdowns'!Z23</f>
        <v>0</v>
      </c>
      <c r="F231" s="344">
        <f>'Variable et Dropdowns'!AA23</f>
        <v>0</v>
      </c>
      <c r="G231" s="343">
        <f>'Variable et Dropdowns'!AB23</f>
        <v>0</v>
      </c>
      <c r="H231" s="424">
        <f>'Variable et Dropdowns'!AC23</f>
        <v>0</v>
      </c>
      <c r="I231" s="97"/>
      <c r="J231" s="97"/>
      <c r="K231" s="98"/>
    </row>
    <row r="232" spans="2:11" x14ac:dyDescent="0.25">
      <c r="B232" s="498"/>
      <c r="C232" s="499" t="s">
        <v>629</v>
      </c>
      <c r="D232" s="345">
        <f>'Variable et Dropdowns'!Y24</f>
        <v>0</v>
      </c>
      <c r="E232" s="344">
        <f>'Variable et Dropdowns'!Z24</f>
        <v>0</v>
      </c>
      <c r="F232" s="344">
        <f>'Variable et Dropdowns'!AA24</f>
        <v>0</v>
      </c>
      <c r="G232" s="343">
        <f>'Variable et Dropdowns'!AB24</f>
        <v>0</v>
      </c>
      <c r="H232" s="424">
        <f>'Variable et Dropdowns'!AC24</f>
        <v>0</v>
      </c>
      <c r="I232" s="97"/>
      <c r="J232" s="97"/>
      <c r="K232" s="98"/>
    </row>
    <row r="233" spans="2:11" x14ac:dyDescent="0.25">
      <c r="B233" s="327" t="s">
        <v>31</v>
      </c>
      <c r="C233" s="346"/>
      <c r="D233" s="346">
        <f>SUM(D210:D228)</f>
        <v>0</v>
      </c>
      <c r="E233" s="346">
        <f>SUM(E210:E232)</f>
        <v>0</v>
      </c>
      <c r="F233" s="346">
        <f t="shared" ref="F233:H233" si="33">SUM(F210:F232)</f>
        <v>0</v>
      </c>
      <c r="G233" s="346">
        <f t="shared" si="33"/>
        <v>0</v>
      </c>
      <c r="H233" s="346">
        <f t="shared" si="33"/>
        <v>0</v>
      </c>
      <c r="I233" s="78"/>
      <c r="J233" s="78"/>
      <c r="K233" s="100"/>
    </row>
    <row r="234" spans="2:11" ht="15.75" x14ac:dyDescent="0.25">
      <c r="B234" s="448" t="s">
        <v>675</v>
      </c>
    </row>
    <row r="235" spans="2:11" x14ac:dyDescent="0.25">
      <c r="B235" s="144" t="s">
        <v>592</v>
      </c>
      <c r="C235" s="442" t="s">
        <v>676</v>
      </c>
      <c r="D235" s="147" t="s">
        <v>677</v>
      </c>
      <c r="E235" s="442" t="s">
        <v>678</v>
      </c>
      <c r="F235" s="147" t="s">
        <v>679</v>
      </c>
    </row>
    <row r="236" spans="2:11" x14ac:dyDescent="0.25">
      <c r="B236" s="148" t="s">
        <v>93</v>
      </c>
      <c r="C236" s="172">
        <f>SUMIF(CCTSAS[Allocation fonctions],$B236,CCTSAS[[Dont heures de contrat personnel supplémentaire Crise Ukrainienne ]])</f>
        <v>0</v>
      </c>
      <c r="D236" s="172">
        <f>SUMIF(CCTSAS[Allocation fonctions],$B236,CCTSAS[Dont heures de personnel supplémentaire COVID-19
(cf. Convention - Annexe 2)])</f>
        <v>0</v>
      </c>
      <c r="E236" s="172">
        <f>SUMIF(SalCommune[Allocations fonctions],$B236,SalCommune[[Dont heures de contrat personnel supplémentaire Crise Ukrainienne ]])</f>
        <v>0</v>
      </c>
      <c r="F236" s="174">
        <f>SUMIF(SalCommune[Allocations fonctions],$B236,SalCommune[Dont heures de personnel supplémentaire COVID-19
(cf. Convention - Annexe 2)])</f>
        <v>0</v>
      </c>
    </row>
    <row r="237" spans="2:11" x14ac:dyDescent="0.25">
      <c r="B237" s="150" t="s">
        <v>94</v>
      </c>
      <c r="C237" s="171">
        <f>SUMIF(CCTSAS[Allocation fonctions],$B237,CCTSAS[[Dont heures de contrat personnel supplémentaire Crise Ukrainienne ]])</f>
        <v>0</v>
      </c>
      <c r="D237" s="171">
        <f>SUMIF(CCTSAS[Allocation fonctions],$B237,CCTSAS[Dont heures de personnel supplémentaire COVID-19
(cf. Convention - Annexe 2)])</f>
        <v>0</v>
      </c>
      <c r="E237" s="171">
        <f>SUMIF(SalCommune[Allocations fonctions],$B237,SalCommune[[Dont heures de contrat personnel supplémentaire Crise Ukrainienne ]])</f>
        <v>0</v>
      </c>
      <c r="F237" s="174">
        <f>SUMIF(SalCommune[Allocations fonctions],$B237,SalCommune[Dont heures de personnel supplémentaire COVID-19
(cf. Convention - Annexe 2)])</f>
        <v>0</v>
      </c>
    </row>
    <row r="238" spans="2:11" x14ac:dyDescent="0.25">
      <c r="B238" s="150" t="s">
        <v>95</v>
      </c>
      <c r="C238" s="171">
        <f>SUMIF(CCTSAS[Allocation fonctions],$B238,CCTSAS[[Dont heures de contrat personnel supplémentaire Crise Ukrainienne ]])</f>
        <v>0</v>
      </c>
      <c r="D238" s="171">
        <f>SUMIF(CCTSAS[Allocation fonctions],$B238,CCTSAS[Dont heures de personnel supplémentaire COVID-19
(cf. Convention - Annexe 2)])</f>
        <v>0</v>
      </c>
      <c r="E238" s="171">
        <f>SUMIF(SalCommune[Allocations fonctions],$B238,SalCommune[[Dont heures de contrat personnel supplémentaire Crise Ukrainienne ]])</f>
        <v>0</v>
      </c>
      <c r="F238" s="174">
        <f>SUMIF(SalCommune[Allocations fonctions],$B238,SalCommune[Dont heures de personnel supplémentaire COVID-19
(cf. Convention - Annexe 2)])</f>
        <v>0</v>
      </c>
    </row>
    <row r="239" spans="2:11" x14ac:dyDescent="0.25">
      <c r="B239" s="150" t="s">
        <v>96</v>
      </c>
      <c r="C239" s="171">
        <f>SUMIF(CCTSAS[Allocation fonctions],$B239,CCTSAS[[Dont heures de contrat personnel supplémentaire Crise Ukrainienne ]])</f>
        <v>0</v>
      </c>
      <c r="D239" s="171">
        <f>SUMIF(CCTSAS[Allocation fonctions],$B239,CCTSAS[Dont heures de personnel supplémentaire COVID-19
(cf. Convention - Annexe 2)])</f>
        <v>0</v>
      </c>
      <c r="E239" s="171">
        <f>SUMIF(SalCommune[Allocations fonctions],$B239,SalCommune[[Dont heures de contrat personnel supplémentaire Crise Ukrainienne ]])</f>
        <v>0</v>
      </c>
      <c r="F239" s="174">
        <f>SUMIF(SalCommune[Allocations fonctions],$B239,SalCommune[Dont heures de personnel supplémentaire COVID-19
(cf. Convention - Annexe 2)])</f>
        <v>0</v>
      </c>
    </row>
    <row r="240" spans="2:11" x14ac:dyDescent="0.25">
      <c r="B240" s="150" t="s">
        <v>97</v>
      </c>
      <c r="C240" s="171">
        <f>SUMIF(CCTSAS[Allocation fonctions],$B240,CCTSAS[[Dont heures de contrat personnel supplémentaire Crise Ukrainienne ]])</f>
        <v>0</v>
      </c>
      <c r="D240" s="171">
        <f>SUMIF(CCTSAS[Allocation fonctions],$B240,CCTSAS[Dont heures de personnel supplémentaire COVID-19
(cf. Convention - Annexe 2)])</f>
        <v>0</v>
      </c>
      <c r="E240" s="171">
        <f>SUMIF(SalCommune[Allocations fonctions],$B240,SalCommune[[Dont heures de contrat personnel supplémentaire Crise Ukrainienne ]])</f>
        <v>0</v>
      </c>
      <c r="F240" s="174">
        <f>SUMIF(SalCommune[Allocations fonctions],$B240,SalCommune[Dont heures de personnel supplémentaire COVID-19
(cf. Convention - Annexe 2)])</f>
        <v>0</v>
      </c>
    </row>
    <row r="241" spans="2:6" x14ac:dyDescent="0.25">
      <c r="B241" s="150" t="s">
        <v>111</v>
      </c>
      <c r="C241" s="171">
        <f>SUMIF(CCTSAS[Allocation fonctions],$B241,CCTSAS[[Dont heures de contrat personnel supplémentaire Crise Ukrainienne ]])</f>
        <v>0</v>
      </c>
      <c r="D241" s="171">
        <f>SUMIF(CCTSAS[Allocation fonctions],$B241,CCTSAS[Dont heures de personnel supplémentaire COVID-19
(cf. Convention - Annexe 2)])</f>
        <v>0</v>
      </c>
      <c r="E241" s="171">
        <f>SUMIF(SalCommune[Allocations fonctions],$B241,SalCommune[[Dont heures de contrat personnel supplémentaire Crise Ukrainienne ]])</f>
        <v>0</v>
      </c>
      <c r="F241" s="174">
        <f>SUMIF(SalCommune[Allocations fonctions],$B241,SalCommune[Dont heures de personnel supplémentaire COVID-19
(cf. Convention - Annexe 2)])</f>
        <v>0</v>
      </c>
    </row>
    <row r="242" spans="2:6" x14ac:dyDescent="0.25">
      <c r="B242" s="150" t="s">
        <v>98</v>
      </c>
      <c r="C242" s="171">
        <f>SUMIF(CCTSAS[Allocation fonctions],$B242,CCTSAS[[Dont heures de contrat personnel supplémentaire Crise Ukrainienne ]])</f>
        <v>0</v>
      </c>
      <c r="D242" s="171">
        <f>SUMIF(CCTSAS[Allocation fonctions],$B242,CCTSAS[Dont heures de personnel supplémentaire COVID-19
(cf. Convention - Annexe 2)])</f>
        <v>0</v>
      </c>
      <c r="E242" s="171">
        <f>SUMIF(SalCommune[Allocations fonctions],$B242,SalCommune[[Dont heures de contrat personnel supplémentaire Crise Ukrainienne ]])</f>
        <v>0</v>
      </c>
      <c r="F242" s="174">
        <f>SUMIF(SalCommune[Allocations fonctions],$B242,SalCommune[Dont heures de personnel supplémentaire COVID-19
(cf. Convention - Annexe 2)])</f>
        <v>0</v>
      </c>
    </row>
    <row r="243" spans="2:6" x14ac:dyDescent="0.25">
      <c r="B243" s="150" t="s">
        <v>99</v>
      </c>
      <c r="C243" s="171">
        <f>SUMIF(CCTSAS[Allocation fonctions],$B243,CCTSAS[[Dont heures de contrat personnel supplémentaire Crise Ukrainienne ]])</f>
        <v>0</v>
      </c>
      <c r="D243" s="171">
        <f>SUMIF(CCTSAS[Allocation fonctions],$B243,CCTSAS[Dont heures de personnel supplémentaire COVID-19
(cf. Convention - Annexe 2)])</f>
        <v>0</v>
      </c>
      <c r="E243" s="171">
        <f>SUMIF(SalCommune[Allocations fonctions],$B243,SalCommune[[Dont heures de contrat personnel supplémentaire Crise Ukrainienne ]])</f>
        <v>0</v>
      </c>
      <c r="F243" s="174">
        <f>SUMIF(SalCommune[Allocations fonctions],$B243,SalCommune[Dont heures de personnel supplémentaire COVID-19
(cf. Convention - Annexe 2)])</f>
        <v>0</v>
      </c>
    </row>
    <row r="244" spans="2:6" x14ac:dyDescent="0.25">
      <c r="B244" s="150" t="s">
        <v>100</v>
      </c>
      <c r="C244" s="171">
        <f>SUMIF(CCTSAS[Allocation fonctions],$B244,CCTSAS[[Dont heures de contrat personnel supplémentaire Crise Ukrainienne ]])</f>
        <v>0</v>
      </c>
      <c r="D244" s="171">
        <f>SUMIF(CCTSAS[Allocation fonctions],$B244,CCTSAS[Dont heures de personnel supplémentaire COVID-19
(cf. Convention - Annexe 2)])</f>
        <v>0</v>
      </c>
      <c r="E244" s="171">
        <f>SUMIF(SalCommune[Allocations fonctions],$B244,SalCommune[[Dont heures de contrat personnel supplémentaire Crise Ukrainienne ]])</f>
        <v>0</v>
      </c>
      <c r="F244" s="174">
        <f>SUMIF(SalCommune[Allocations fonctions],$B244,SalCommune[Dont heures de personnel supplémentaire COVID-19
(cf. Convention - Annexe 2)])</f>
        <v>0</v>
      </c>
    </row>
    <row r="245" spans="2:6" x14ac:dyDescent="0.25">
      <c r="B245" s="150" t="s">
        <v>101</v>
      </c>
      <c r="C245" s="171">
        <f>SUMIF(CCTSAS[Allocation fonctions],$B245,CCTSAS[[Dont heures de contrat personnel supplémentaire Crise Ukrainienne ]])</f>
        <v>0</v>
      </c>
      <c r="D245" s="171">
        <f>SUMIF(CCTSAS[Allocation fonctions],$B245,CCTSAS[Dont heures de personnel supplémentaire COVID-19
(cf. Convention - Annexe 2)])</f>
        <v>0</v>
      </c>
      <c r="E245" s="171">
        <f>SUMIF(SalCommune[Allocations fonctions],$B245,SalCommune[[Dont heures de contrat personnel supplémentaire Crise Ukrainienne ]])</f>
        <v>0</v>
      </c>
      <c r="F245" s="174">
        <f>SUMIF(SalCommune[Allocations fonctions],$B245,SalCommune[Dont heures de personnel supplémentaire COVID-19
(cf. Convention - Annexe 2)])</f>
        <v>0</v>
      </c>
    </row>
    <row r="246" spans="2:6" x14ac:dyDescent="0.25">
      <c r="B246" s="150" t="s">
        <v>102</v>
      </c>
      <c r="C246" s="171">
        <f>SUMIF(CCTSAS[Allocation fonctions],$B246,CCTSAS[[Dont heures de contrat personnel supplémentaire Crise Ukrainienne ]])</f>
        <v>0</v>
      </c>
      <c r="D246" s="171">
        <f>SUMIF(CCTSAS[Allocation fonctions],$B246,CCTSAS[Dont heures de personnel supplémentaire COVID-19
(cf. Convention - Annexe 2)])</f>
        <v>0</v>
      </c>
      <c r="E246" s="171">
        <f>SUMIF(SalCommune[Allocations fonctions],$B246,SalCommune[[Dont heures de contrat personnel supplémentaire Crise Ukrainienne ]])</f>
        <v>0</v>
      </c>
      <c r="F246" s="174">
        <f>SUMIF(SalCommune[Allocations fonctions],$B246,SalCommune[Dont heures de personnel supplémentaire COVID-19
(cf. Convention - Annexe 2)])</f>
        <v>0</v>
      </c>
    </row>
    <row r="247" spans="2:6" x14ac:dyDescent="0.25">
      <c r="B247" s="150" t="s">
        <v>103</v>
      </c>
      <c r="C247" s="171">
        <f>SUMIF(CCTSAS[Allocation fonctions],$B247,CCTSAS[[Dont heures de contrat personnel supplémentaire Crise Ukrainienne ]])</f>
        <v>0</v>
      </c>
      <c r="D247" s="171">
        <f>SUMIF(CCTSAS[Allocation fonctions],$B247,CCTSAS[Dont heures de personnel supplémentaire COVID-19
(cf. Convention - Annexe 2)])</f>
        <v>0</v>
      </c>
      <c r="E247" s="171">
        <f>SUMIF(SalCommune[Allocations fonctions],$B247,SalCommune[[Dont heures de contrat personnel supplémentaire Crise Ukrainienne ]])</f>
        <v>0</v>
      </c>
      <c r="F247" s="174">
        <f>SUMIF(SalCommune[Allocations fonctions],$B247,SalCommune[Dont heures de personnel supplémentaire COVID-19
(cf. Convention - Annexe 2)])</f>
        <v>0</v>
      </c>
    </row>
    <row r="248" spans="2:6" x14ac:dyDescent="0.25">
      <c r="B248" s="150" t="s">
        <v>638</v>
      </c>
      <c r="C248" s="171">
        <f>SUMIF(CCTSAS[Allocation fonctions],$B248,CCTSAS[[Dont heures de contrat personnel supplémentaire Crise Ukrainienne ]])</f>
        <v>0</v>
      </c>
      <c r="D248" s="171">
        <f>SUMIF(CCTSAS[Allocation fonctions],$B248,CCTSAS[Dont heures de personnel supplémentaire COVID-19
(cf. Convention - Annexe 2)])</f>
        <v>0</v>
      </c>
      <c r="E248" s="171">
        <f>SUMIF(SalCommune[Allocations fonctions],$B248,SalCommune[[Dont heures de contrat personnel supplémentaire Crise Ukrainienne ]])</f>
        <v>0</v>
      </c>
      <c r="F248" s="174">
        <f>SUMIF(SalCommune[Allocations fonctions],$B248,SalCommune[Dont heures de personnel supplémentaire COVID-19
(cf. Convention - Annexe 2)])</f>
        <v>0</v>
      </c>
    </row>
    <row r="249" spans="2:6" x14ac:dyDescent="0.25">
      <c r="B249" s="150" t="s">
        <v>637</v>
      </c>
      <c r="C249" s="171">
        <f>SUMIF(CCTSAS[Allocation fonctions],$B249,CCTSAS[[Dont heures de contrat personnel supplémentaire Crise Ukrainienne ]])</f>
        <v>0</v>
      </c>
      <c r="D249" s="171">
        <f>SUMIF(CCTSAS[Allocation fonctions],$B249,CCTSAS[Dont heures de personnel supplémentaire COVID-19
(cf. Convention - Annexe 2)])</f>
        <v>0</v>
      </c>
      <c r="E249" s="171">
        <f>SUMIF(SalCommune[Allocations fonctions],$B249,SalCommune[[Dont heures de contrat personnel supplémentaire Crise Ukrainienne ]])</f>
        <v>0</v>
      </c>
      <c r="F249" s="447">
        <f>SUMIF(SalCommune[Allocations fonctions],$B249,SalCommune[Dont heures de personnel supplémentaire COVID-19
(cf. Convention - Annexe 2)])</f>
        <v>0</v>
      </c>
    </row>
    <row r="250" spans="2:6" x14ac:dyDescent="0.25">
      <c r="B250" s="150" t="s">
        <v>105</v>
      </c>
      <c r="C250" s="171">
        <f>SUMIF(CCTSAS[Allocation fonctions],$B250,CCTSAS[[Dont heures de contrat personnel supplémentaire Crise Ukrainienne ]])</f>
        <v>0</v>
      </c>
      <c r="D250" s="171">
        <f>SUMIF(CCTSAS[Allocation fonctions],$B250,CCTSAS[Dont heures de personnel supplémentaire COVID-19
(cf. Convention - Annexe 2)])</f>
        <v>0</v>
      </c>
      <c r="E250" s="171">
        <f>SUMIF(SalCommune[Allocations fonctions],$B250,SalCommune[[Dont heures de contrat personnel supplémentaire Crise Ukrainienne ]])</f>
        <v>0</v>
      </c>
      <c r="F250" s="447">
        <f>SUMIF(SalCommune[Allocations fonctions],$B250,SalCommune[Dont heures de personnel supplémentaire COVID-19
(cf. Convention - Annexe 2)])</f>
        <v>0</v>
      </c>
    </row>
    <row r="251" spans="2:6" x14ac:dyDescent="0.25">
      <c r="B251" s="150" t="s">
        <v>106</v>
      </c>
      <c r="C251" s="171">
        <f>SUMIF(CCTSAS[Allocation fonctions],$B251,CCTSAS[[Dont heures de contrat personnel supplémentaire Crise Ukrainienne ]])</f>
        <v>0</v>
      </c>
      <c r="D251" s="171">
        <f>SUMIF(CCTSAS[Allocation fonctions],$B251,CCTSAS[Dont heures de personnel supplémentaire COVID-19
(cf. Convention - Annexe 2)])</f>
        <v>0</v>
      </c>
      <c r="E251" s="171">
        <f>SUMIF(SalCommune[Allocations fonctions],$B251,SalCommune[[Dont heures de contrat personnel supplémentaire Crise Ukrainienne ]])</f>
        <v>0</v>
      </c>
      <c r="F251" s="447">
        <f>SUMIF(SalCommune[Allocations fonctions],$B251,SalCommune[Dont heures de personnel supplémentaire COVID-19
(cf. Convention - Annexe 2)])</f>
        <v>0</v>
      </c>
    </row>
    <row r="252" spans="2:6" x14ac:dyDescent="0.25">
      <c r="B252" s="150" t="s">
        <v>107</v>
      </c>
      <c r="C252" s="171">
        <f>SUMIF(CCTSAS[Allocation fonctions],$B252,CCTSAS[[Dont heures de contrat personnel supplémentaire Crise Ukrainienne ]])</f>
        <v>0</v>
      </c>
      <c r="D252" s="171">
        <f>SUMIF(CCTSAS[Allocation fonctions],$B252,CCTSAS[Dont heures de personnel supplémentaire COVID-19
(cf. Convention - Annexe 2)])</f>
        <v>0</v>
      </c>
      <c r="E252" s="171">
        <f>SUMIF(SalCommune[Allocations fonctions],$B252,SalCommune[[Dont heures de contrat personnel supplémentaire Crise Ukrainienne ]])</f>
        <v>0</v>
      </c>
      <c r="F252" s="447">
        <f>SUMIF(SalCommune[Allocations fonctions],$B252,SalCommune[Dont heures de personnel supplémentaire COVID-19
(cf. Convention - Annexe 2)])</f>
        <v>0</v>
      </c>
    </row>
    <row r="253" spans="2:6" x14ac:dyDescent="0.25">
      <c r="B253" s="150" t="s">
        <v>108</v>
      </c>
      <c r="C253" s="171">
        <f>SUMIF(CCTSAS[Allocation fonctions],$B253,CCTSAS[[Dont heures de contrat personnel supplémentaire Crise Ukrainienne ]])</f>
        <v>0</v>
      </c>
      <c r="D253" s="171">
        <f>SUMIF(CCTSAS[Allocation fonctions],$B253,CCTSAS[Dont heures de personnel supplémentaire COVID-19
(cf. Convention - Annexe 2)])</f>
        <v>0</v>
      </c>
      <c r="E253" s="171">
        <f>SUMIF(SalCommune[Allocations fonctions],$B253,SalCommune[[Dont heures de contrat personnel supplémentaire Crise Ukrainienne ]])</f>
        <v>0</v>
      </c>
      <c r="F253" s="447">
        <f>SUMIF(SalCommune[Allocations fonctions],$B253,SalCommune[Dont heures de personnel supplémentaire COVID-19
(cf. Convention - Annexe 2)])</f>
        <v>0</v>
      </c>
    </row>
    <row r="254" spans="2:6" x14ac:dyDescent="0.25">
      <c r="B254" s="150" t="s">
        <v>109</v>
      </c>
      <c r="C254" s="171">
        <f>SUMIF(CCTSAS[Allocation fonctions],$B254,CCTSAS[[Dont heures de contrat personnel supplémentaire Crise Ukrainienne ]])</f>
        <v>0</v>
      </c>
      <c r="D254" s="171">
        <f>SUMIF(CCTSAS[Allocation fonctions],$B254,CCTSAS[Dont heures de personnel supplémentaire COVID-19
(cf. Convention - Annexe 2)])</f>
        <v>0</v>
      </c>
      <c r="E254" s="171">
        <f>SUMIF(SalCommune[Allocations fonctions],$B254,SalCommune[[Dont heures de contrat personnel supplémentaire Crise Ukrainienne ]])</f>
        <v>0</v>
      </c>
      <c r="F254" s="446">
        <f>SUMIF(SalCommune[Allocations fonctions],$B254,SalCommune[Dont heures de personnel supplémentaire COVID-19
(cf. Convention - Annexe 2)])</f>
        <v>0</v>
      </c>
    </row>
    <row r="255" spans="2:6" x14ac:dyDescent="0.25">
      <c r="B255" s="150" t="s">
        <v>610</v>
      </c>
      <c r="C255" s="171">
        <f>SUMIF(CCTSAS[Allocation fonctions],$B255,CCTSAS[[Dont heures de contrat personnel supplémentaire Crise Ukrainienne ]])</f>
        <v>0</v>
      </c>
      <c r="D255" s="171">
        <f>SUMIF(CCTSAS[Allocation fonctions],$B255,CCTSAS[Dont heures de personnel supplémentaire COVID-19
(cf. Convention - Annexe 2)])</f>
        <v>0</v>
      </c>
      <c r="E255" s="171">
        <f>SUMIF(SalCommune[Allocations fonctions],$B255,SalCommune[[Dont heures de contrat personnel supplémentaire Crise Ukrainienne ]])</f>
        <v>0</v>
      </c>
      <c r="F255" s="446">
        <f>SUMIF(SalCommune[Allocations fonctions],$B255,SalCommune[Dont heures de personnel supplémentaire COVID-19
(cf. Convention - Annexe 2)])</f>
        <v>0</v>
      </c>
    </row>
    <row r="256" spans="2:6" x14ac:dyDescent="0.25">
      <c r="B256" s="150" t="s">
        <v>627</v>
      </c>
      <c r="C256" s="171">
        <f>SUMIF(CCTSAS[Allocation fonctions],$B256,CCTSAS[[Dont heures de contrat personnel supplémentaire Crise Ukrainienne ]])</f>
        <v>0</v>
      </c>
      <c r="D256" s="171">
        <f>SUMIF(CCTSAS[Allocation fonctions],$B256,CCTSAS[Dont heures de personnel supplémentaire COVID-19
(cf. Convention - Annexe 2)])</f>
        <v>0</v>
      </c>
      <c r="E256" s="171">
        <f>SUMIF(SalCommune[Allocations fonctions],$B256,SalCommune[[Dont heures de contrat personnel supplémentaire Crise Ukrainienne ]])</f>
        <v>0</v>
      </c>
      <c r="F256" s="446">
        <f>SUMIF(SalCommune[Allocations fonctions],$B256,SalCommune[Dont heures de personnel supplémentaire COVID-19
(cf. Convention - Annexe 2)])</f>
        <v>0</v>
      </c>
    </row>
    <row r="257" spans="2:6" x14ac:dyDescent="0.25">
      <c r="B257" s="150" t="s">
        <v>628</v>
      </c>
      <c r="C257" s="171">
        <f>SUMIF(CCTSAS[Allocation fonctions],$B257,CCTSAS[[Dont heures de contrat personnel supplémentaire Crise Ukrainienne ]])</f>
        <v>0</v>
      </c>
      <c r="D257" s="171">
        <f>SUMIF(CCTSAS[Allocation fonctions],$B257,CCTSAS[Dont heures de personnel supplémentaire COVID-19
(cf. Convention - Annexe 2)])</f>
        <v>0</v>
      </c>
      <c r="E257" s="171">
        <f>SUMIF(SalCommune[Allocations fonctions],$B257,SalCommune[[Dont heures de contrat personnel supplémentaire Crise Ukrainienne ]])</f>
        <v>0</v>
      </c>
      <c r="F257" s="446">
        <f>SUMIF(SalCommune[Allocations fonctions],$B257,SalCommune[Dont heures de personnel supplémentaire COVID-19
(cf. Convention - Annexe 2)])</f>
        <v>0</v>
      </c>
    </row>
    <row r="258" spans="2:6" x14ac:dyDescent="0.25">
      <c r="B258" s="150" t="s">
        <v>629</v>
      </c>
      <c r="C258" s="171">
        <f>SUMIF(CCTSAS[Allocation fonctions],$B258,CCTSAS[[Dont heures de contrat personnel supplémentaire Crise Ukrainienne ]])</f>
        <v>0</v>
      </c>
      <c r="D258" s="171">
        <f>SUMIF(CCTSAS[Allocation fonctions],$B258,CCTSAS[Dont heures de personnel supplémentaire COVID-19
(cf. Convention - Annexe 2)])</f>
        <v>0</v>
      </c>
      <c r="E258" s="171">
        <f>SUMIF(SalCommune[Allocations fonctions],$B258,SalCommune[[Dont heures de contrat personnel supplémentaire Crise Ukrainienne ]])</f>
        <v>0</v>
      </c>
      <c r="F258" s="446">
        <f>SUMIF(SalCommune[Allocations fonctions],$B258,SalCommune[Dont heures de personnel supplémentaire COVID-19
(cf. Convention - Annexe 2)])</f>
        <v>0</v>
      </c>
    </row>
    <row r="259" spans="2:6" x14ac:dyDescent="0.25">
      <c r="B259" s="445"/>
      <c r="C259" s="444">
        <f>SUM(C236:C254)</f>
        <v>0</v>
      </c>
      <c r="D259" s="444">
        <f>SUM(D236:D254)</f>
        <v>0</v>
      </c>
      <c r="E259" s="444">
        <f>SUM(E236:E254)</f>
        <v>0</v>
      </c>
      <c r="F259" s="443">
        <f>SUM(F236:F254)</f>
        <v>0</v>
      </c>
    </row>
    <row r="280" spans="1:8" ht="15.75" thickBot="1" x14ac:dyDescent="0.3"/>
    <row r="281" spans="1:8" ht="16.5" thickBot="1" x14ac:dyDescent="0.3">
      <c r="B281" s="180" t="str">
        <f>IF(G66+C86=SUM(C283:H283),"Tous les frais sont inclus",(G66+C86)-SUM(C283:H283)&amp;" € n'ont pas l'allocation")</f>
        <v>Tous les frais sont inclus</v>
      </c>
    </row>
    <row r="283" spans="1:8" x14ac:dyDescent="0.25">
      <c r="A283"/>
      <c r="B283" s="68" t="s">
        <v>313</v>
      </c>
      <c r="C283" s="69">
        <f>SUM(Overhead6[Frais directement liés à l''activité - Encadrement])</f>
        <v>0</v>
      </c>
      <c r="D283" s="69">
        <f>SUM(Overhead6[Frais directement liés à l''activité - Logistique])</f>
        <v>0</v>
      </c>
      <c r="E283" s="69">
        <f>SUM(Overhead6[Frais indirectement liés à l''activité - Prévues par la loi ])</f>
        <v>0</v>
      </c>
      <c r="F283" s="69">
        <f>SUM(Overhead6[Frais indirectement liés à l''activité - Autres fonctions - Administration / Logistique])</f>
        <v>0</v>
      </c>
      <c r="G283" s="69">
        <f>SUM(Overhead6[Frais indirectement liés à l''activité - Autres fonctions - Chargé(e) de direction])</f>
        <v>0</v>
      </c>
      <c r="H283" s="69">
        <f>SUM(Overhead6[Frais indirectement liés à l''activité - Autres fonctions - Direction générale])</f>
        <v>0</v>
      </c>
    </row>
    <row r="284" spans="1:8" x14ac:dyDescent="0.25">
      <c r="A284"/>
      <c r="B284" s="68" t="s">
        <v>392</v>
      </c>
      <c r="C284" s="76">
        <f>Overhead6[[#Totals],[Frais directement liés à l''activité - Encadrement]]</f>
        <v>0</v>
      </c>
      <c r="D284" s="76">
        <f>Overhead6[[#Totals],[Frais directement liés à l''activité - Logistique]]</f>
        <v>0</v>
      </c>
      <c r="E284" s="76">
        <f>Overhead6[[#Totals],[Frais indirectement liés à l''activité - Prévues par la loi ]]</f>
        <v>0</v>
      </c>
      <c r="F284" s="76">
        <f>Overhead6[[#Totals],[Frais indirectement liés à l''activité - Autres fonctions - Administration / Logistique]]</f>
        <v>0</v>
      </c>
      <c r="G284" s="76">
        <f>Overhead6[[#Totals],[Frais indirectement liés à l''activité - Autres fonctions - Chargé(e) de direction]]</f>
        <v>0</v>
      </c>
      <c r="H284" s="76">
        <f>Overhead6[[#Totals],[Frais indirectement liés à l''activité - Autres fonctions - Direction générale]]</f>
        <v>0</v>
      </c>
    </row>
    <row r="285" spans="1:8" ht="15.75" thickBot="1" x14ac:dyDescent="0.3">
      <c r="A285"/>
      <c r="B285" s="23" t="s">
        <v>254</v>
      </c>
      <c r="C285" s="58" t="s">
        <v>351</v>
      </c>
      <c r="D285" s="51" t="s">
        <v>352</v>
      </c>
      <c r="E285" s="51" t="s">
        <v>356</v>
      </c>
      <c r="F285" s="51" t="s">
        <v>353</v>
      </c>
      <c r="G285" s="51" t="s">
        <v>354</v>
      </c>
      <c r="H285" s="56" t="s">
        <v>355</v>
      </c>
    </row>
    <row r="286" spans="1:8" x14ac:dyDescent="0.25">
      <c r="A286" s="737" t="s">
        <v>357</v>
      </c>
      <c r="B286" s="59" t="s">
        <v>93</v>
      </c>
      <c r="C286" s="60">
        <f>SUMIFS(Fonctionnement[Montant],Fonctionnement[Allocation],Overhead6[[#This Row],[Fonction]],Fonctionnement[Frais généraux],Overhead6[[#Headers],[Frais directement liés à l''activité - Encadrement]])</f>
        <v>0</v>
      </c>
      <c r="D286" s="60">
        <f>SUMIFS(Fonctionnement[Montant],Fonctionnement[Allocation],Overhead6[[#This Row],[Fonction]],Fonctionnement[Frais généraux],Overhead6[[#Headers],[Frais directement liés à l''activité - Logistique]])</f>
        <v>0</v>
      </c>
      <c r="E286" s="60">
        <f>SUMIFS(Fonctionnement[Montant],Fonctionnement[Allocation],Overhead6[[#This Row],[Fonction]],Fonctionnement[Frais généraux],Overhead6[[#Headers],[Frais indirectement liés à l''activité - Prévues par la loi ]])</f>
        <v>0</v>
      </c>
      <c r="F286" s="60">
        <f>SUMIFS(Fonctionnement[Montant],Fonctionnement[Allocation],Overhead6[[#This Row],[Fonction]],Fonctionnement[Frais généraux],Overhead6[[#Headers],[Frais indirectement liés à l''activité - Autres fonctions - Administration / Logistique]])</f>
        <v>0</v>
      </c>
      <c r="G286" s="60">
        <f>SUMIFS(Fonctionnement[Montant],Fonctionnement[Allocation],Overhead6[[#This Row],[Fonction]],Fonctionnement[Frais généraux],Overhead6[[#Headers],[Frais indirectement liés à l''activité - Autres fonctions - Chargé(e) de direction]])</f>
        <v>0</v>
      </c>
      <c r="H286" s="61">
        <f>SUMIFS(Fonctionnement[Montant],Fonctionnement[Allocation],Overhead6[[#This Row],[Fonction]],Fonctionnement[Frais généraux],Overhead6[[#Headers],[Frais indirectement liés à l''activité - Autres fonctions - Direction générale]])</f>
        <v>0</v>
      </c>
    </row>
    <row r="287" spans="1:8" x14ac:dyDescent="0.25">
      <c r="A287" s="738"/>
      <c r="B287" s="57" t="s">
        <v>94</v>
      </c>
      <c r="C287" s="52">
        <f>SUMIFS(Fonctionnement[Montant],Fonctionnement[Allocation],Overhead6[[#This Row],[Fonction]],Fonctionnement[Frais généraux],Overhead6[[#Headers],[Frais directement liés à l''activité - Encadrement]])</f>
        <v>0</v>
      </c>
      <c r="D287" s="52">
        <f>SUMIFS(Fonctionnement[Montant],Fonctionnement[Allocation],Overhead6[[#This Row],[Fonction]],Fonctionnement[Frais généraux],Overhead6[[#Headers],[Frais directement liés à l''activité - Logistique]])</f>
        <v>0</v>
      </c>
      <c r="E287" s="52">
        <f>SUMIFS(Fonctionnement[Montant],Fonctionnement[Allocation],Overhead6[[#This Row],[Fonction]],Fonctionnement[Frais généraux],Overhead6[[#Headers],[Frais indirectement liés à l''activité - Prévues par la loi ]])</f>
        <v>0</v>
      </c>
      <c r="F287" s="52">
        <f>SUMIFS(Fonctionnement[Montant],Fonctionnement[Allocation],Overhead6[[#This Row],[Fonction]],Fonctionnement[Frais généraux],Overhead6[[#Headers],[Frais indirectement liés à l''activité - Autres fonctions - Administration / Logistique]])</f>
        <v>0</v>
      </c>
      <c r="G287" s="52">
        <f>SUMIFS(Fonctionnement[Montant],Fonctionnement[Allocation],Overhead6[[#This Row],[Fonction]],Fonctionnement[Frais généraux],Overhead6[[#Headers],[Frais indirectement liés à l''activité - Autres fonctions - Chargé(e) de direction]])</f>
        <v>0</v>
      </c>
      <c r="H287" s="53">
        <f>SUMIFS(Fonctionnement[Montant],Fonctionnement[Allocation],Overhead6[[#This Row],[Fonction]],Fonctionnement[Frais généraux],Overhead6[[#Headers],[Frais indirectement liés à l''activité - Autres fonctions - Direction générale]])</f>
        <v>0</v>
      </c>
    </row>
    <row r="288" spans="1:8" x14ac:dyDescent="0.25">
      <c r="A288" s="738"/>
      <c r="B288" s="57" t="s">
        <v>95</v>
      </c>
      <c r="C288" s="52">
        <f>SUMIFS(Fonctionnement[Montant],Fonctionnement[Allocation],Overhead6[[#This Row],[Fonction]],Fonctionnement[Frais généraux],Overhead6[[#Headers],[Frais directement liés à l''activité - Encadrement]])</f>
        <v>0</v>
      </c>
      <c r="D288" s="52">
        <f>SUMIFS(Fonctionnement[Montant],Fonctionnement[Allocation],Overhead6[[#This Row],[Fonction]],Fonctionnement[Frais généraux],Overhead6[[#Headers],[Frais directement liés à l''activité - Logistique]])</f>
        <v>0</v>
      </c>
      <c r="E288" s="52">
        <f>SUMIFS(Fonctionnement[Montant],Fonctionnement[Allocation],Overhead6[[#This Row],[Fonction]],Fonctionnement[Frais généraux],Overhead6[[#Headers],[Frais indirectement liés à l''activité - Prévues par la loi ]])</f>
        <v>0</v>
      </c>
      <c r="F288" s="52">
        <f>SUMIFS(Fonctionnement[Montant],Fonctionnement[Allocation],Overhead6[[#This Row],[Fonction]],Fonctionnement[Frais généraux],Overhead6[[#Headers],[Frais indirectement liés à l''activité - Autres fonctions - Administration / Logistique]])</f>
        <v>0</v>
      </c>
      <c r="G288" s="52">
        <f>SUMIFS(Fonctionnement[Montant],Fonctionnement[Allocation],Overhead6[[#This Row],[Fonction]],Fonctionnement[Frais généraux],Overhead6[[#Headers],[Frais indirectement liés à l''activité - Autres fonctions - Chargé(e) de direction]])</f>
        <v>0</v>
      </c>
      <c r="H288" s="53">
        <f>SUMIFS(Fonctionnement[Montant],Fonctionnement[Allocation],Overhead6[[#This Row],[Fonction]],Fonctionnement[Frais généraux],Overhead6[[#Headers],[Frais indirectement liés à l''activité - Autres fonctions - Direction générale]])</f>
        <v>0</v>
      </c>
    </row>
    <row r="289" spans="1:8" x14ac:dyDescent="0.25">
      <c r="A289" s="738"/>
      <c r="B289" s="57" t="s">
        <v>96</v>
      </c>
      <c r="C289" s="52">
        <f>SUMIFS(Fonctionnement[Montant],Fonctionnement[Allocation],Overhead6[[#This Row],[Fonction]],Fonctionnement[Frais généraux],Overhead6[[#Headers],[Frais directement liés à l''activité - Encadrement]])</f>
        <v>0</v>
      </c>
      <c r="D289" s="52">
        <f>SUMIFS(Fonctionnement[Montant],Fonctionnement[Allocation],Overhead6[[#This Row],[Fonction]],Fonctionnement[Frais généraux],Overhead6[[#Headers],[Frais directement liés à l''activité - Logistique]])</f>
        <v>0</v>
      </c>
      <c r="E289" s="52">
        <f>SUMIFS(Fonctionnement[Montant],Fonctionnement[Allocation],Overhead6[[#This Row],[Fonction]],Fonctionnement[Frais généraux],Overhead6[[#Headers],[Frais indirectement liés à l''activité - Prévues par la loi ]])</f>
        <v>0</v>
      </c>
      <c r="F289" s="52">
        <f>SUMIFS(Fonctionnement[Montant],Fonctionnement[Allocation],Overhead6[[#This Row],[Fonction]],Fonctionnement[Frais généraux],Overhead6[[#Headers],[Frais indirectement liés à l''activité - Autres fonctions - Administration / Logistique]])</f>
        <v>0</v>
      </c>
      <c r="G289" s="52">
        <f>SUMIFS(Fonctionnement[Montant],Fonctionnement[Allocation],Overhead6[[#This Row],[Fonction]],Fonctionnement[Frais généraux],Overhead6[[#Headers],[Frais indirectement liés à l''activité - Autres fonctions - Chargé(e) de direction]])</f>
        <v>0</v>
      </c>
      <c r="H289" s="53">
        <f>SUMIFS(Fonctionnement[Montant],Fonctionnement[Allocation],Overhead6[[#This Row],[Fonction]],Fonctionnement[Frais généraux],Overhead6[[#Headers],[Frais indirectement liés à l''activité - Autres fonctions - Direction générale]])</f>
        <v>0</v>
      </c>
    </row>
    <row r="290" spans="1:8" x14ac:dyDescent="0.25">
      <c r="A290" s="738"/>
      <c r="B290" s="57" t="s">
        <v>97</v>
      </c>
      <c r="C290" s="52">
        <f>SUMIFS(Fonctionnement[Montant],Fonctionnement[Allocation],Overhead6[[#This Row],[Fonction]],Fonctionnement[Frais généraux],Overhead6[[#Headers],[Frais directement liés à l''activité - Encadrement]])</f>
        <v>0</v>
      </c>
      <c r="D290" s="52">
        <f>SUMIFS(Fonctionnement[Montant],Fonctionnement[Allocation],Overhead6[[#This Row],[Fonction]],Fonctionnement[Frais généraux],Overhead6[[#Headers],[Frais directement liés à l''activité - Logistique]])</f>
        <v>0</v>
      </c>
      <c r="E290" s="52">
        <f>SUMIFS(Fonctionnement[Montant],Fonctionnement[Allocation],Overhead6[[#This Row],[Fonction]],Fonctionnement[Frais généraux],Overhead6[[#Headers],[Frais indirectement liés à l''activité - Prévues par la loi ]])</f>
        <v>0</v>
      </c>
      <c r="F290" s="52">
        <f>SUMIFS(Fonctionnement[Montant],Fonctionnement[Allocation],Overhead6[[#This Row],[Fonction]],Fonctionnement[Frais généraux],Overhead6[[#Headers],[Frais indirectement liés à l''activité - Autres fonctions - Administration / Logistique]])</f>
        <v>0</v>
      </c>
      <c r="G290" s="52">
        <f>SUMIFS(Fonctionnement[Montant],Fonctionnement[Allocation],Overhead6[[#This Row],[Fonction]],Fonctionnement[Frais généraux],Overhead6[[#Headers],[Frais indirectement liés à l''activité - Autres fonctions - Chargé(e) de direction]])</f>
        <v>0</v>
      </c>
      <c r="H290" s="53">
        <f>SUMIFS(Fonctionnement[Montant],Fonctionnement[Allocation],Overhead6[[#This Row],[Fonction]],Fonctionnement[Frais généraux],Overhead6[[#Headers],[Frais indirectement liés à l''activité - Autres fonctions - Direction générale]])</f>
        <v>0</v>
      </c>
    </row>
    <row r="291" spans="1:8" x14ac:dyDescent="0.25">
      <c r="A291" s="738"/>
      <c r="B291" s="57" t="s">
        <v>111</v>
      </c>
      <c r="C291" s="52">
        <f>SUMIFS(Fonctionnement[Montant],Fonctionnement[Allocation],Overhead6[[#This Row],[Fonction]],Fonctionnement[Frais généraux],Overhead6[[#Headers],[Frais directement liés à l''activité - Encadrement]])</f>
        <v>0</v>
      </c>
      <c r="D291" s="52">
        <f>SUMIFS(Fonctionnement[Montant],Fonctionnement[Allocation],Overhead6[[#This Row],[Fonction]],Fonctionnement[Frais généraux],Overhead6[[#Headers],[Frais directement liés à l''activité - Logistique]])</f>
        <v>0</v>
      </c>
      <c r="E291" s="52">
        <f>SUMIFS(Fonctionnement[Montant],Fonctionnement[Allocation],Overhead6[[#This Row],[Fonction]],Fonctionnement[Frais généraux],Overhead6[[#Headers],[Frais indirectement liés à l''activité - Prévues par la loi ]])</f>
        <v>0</v>
      </c>
      <c r="F291" s="52">
        <f>SUMIFS(Fonctionnement[Montant],Fonctionnement[Allocation],Overhead6[[#This Row],[Fonction]],Fonctionnement[Frais généraux],Overhead6[[#Headers],[Frais indirectement liés à l''activité - Autres fonctions - Administration / Logistique]])</f>
        <v>0</v>
      </c>
      <c r="G291" s="52">
        <f>SUMIFS(Fonctionnement[Montant],Fonctionnement[Allocation],Overhead6[[#This Row],[Fonction]],Fonctionnement[Frais généraux],Overhead6[[#Headers],[Frais indirectement liés à l''activité - Autres fonctions - Chargé(e) de direction]])</f>
        <v>0</v>
      </c>
      <c r="H291" s="53">
        <f>SUMIFS(Fonctionnement[Montant],Fonctionnement[Allocation],Overhead6[[#This Row],[Fonction]],Fonctionnement[Frais généraux],Overhead6[[#Headers],[Frais indirectement liés à l''activité - Autres fonctions - Direction générale]])</f>
        <v>0</v>
      </c>
    </row>
    <row r="292" spans="1:8" x14ac:dyDescent="0.25">
      <c r="A292" s="738"/>
      <c r="B292" s="57" t="s">
        <v>98</v>
      </c>
      <c r="C292" s="52">
        <f>SUMIFS(Fonctionnement[Montant],Fonctionnement[Allocation],Overhead6[[#This Row],[Fonction]],Fonctionnement[Frais généraux],Overhead6[[#Headers],[Frais directement liés à l''activité - Encadrement]])</f>
        <v>0</v>
      </c>
      <c r="D292" s="52">
        <f>SUMIFS(Fonctionnement[Montant],Fonctionnement[Allocation],Overhead6[[#This Row],[Fonction]],Fonctionnement[Frais généraux],Overhead6[[#Headers],[Frais directement liés à l''activité - Logistique]])</f>
        <v>0</v>
      </c>
      <c r="E292" s="52">
        <f>SUMIFS(Fonctionnement[Montant],Fonctionnement[Allocation],Overhead6[[#This Row],[Fonction]],Fonctionnement[Frais généraux],Overhead6[[#Headers],[Frais indirectement liés à l''activité - Prévues par la loi ]])</f>
        <v>0</v>
      </c>
      <c r="F292" s="52">
        <f>SUMIFS(Fonctionnement[Montant],Fonctionnement[Allocation],Overhead6[[#This Row],[Fonction]],Fonctionnement[Frais généraux],Overhead6[[#Headers],[Frais indirectement liés à l''activité - Autres fonctions - Administration / Logistique]])</f>
        <v>0</v>
      </c>
      <c r="G292" s="52">
        <f>SUMIFS(Fonctionnement[Montant],Fonctionnement[Allocation],Overhead6[[#This Row],[Fonction]],Fonctionnement[Frais généraux],Overhead6[[#Headers],[Frais indirectement liés à l''activité - Autres fonctions - Chargé(e) de direction]])</f>
        <v>0</v>
      </c>
      <c r="H292" s="53">
        <f>SUMIFS(Fonctionnement[Montant],Fonctionnement[Allocation],Overhead6[[#This Row],[Fonction]],Fonctionnement[Frais généraux],Overhead6[[#Headers],[Frais indirectement liés à l''activité - Autres fonctions - Direction générale]])</f>
        <v>0</v>
      </c>
    </row>
    <row r="293" spans="1:8" x14ac:dyDescent="0.25">
      <c r="A293" s="738"/>
      <c r="B293" s="57" t="s">
        <v>99</v>
      </c>
      <c r="C293" s="52">
        <f>SUMIFS(Fonctionnement[Montant],Fonctionnement[Allocation],Overhead6[[#This Row],[Fonction]],Fonctionnement[Frais généraux],Overhead6[[#Headers],[Frais directement liés à l''activité - Encadrement]])</f>
        <v>0</v>
      </c>
      <c r="D293" s="52">
        <f>SUMIFS(Fonctionnement[Montant],Fonctionnement[Allocation],Overhead6[[#This Row],[Fonction]],Fonctionnement[Frais généraux],Overhead6[[#Headers],[Frais directement liés à l''activité - Logistique]])</f>
        <v>0</v>
      </c>
      <c r="E293" s="52">
        <f>SUMIFS(Fonctionnement[Montant],Fonctionnement[Allocation],Overhead6[[#This Row],[Fonction]],Fonctionnement[Frais généraux],Overhead6[[#Headers],[Frais indirectement liés à l''activité - Prévues par la loi ]])</f>
        <v>0</v>
      </c>
      <c r="F293" s="52">
        <f>SUMIFS(Fonctionnement[Montant],Fonctionnement[Allocation],Overhead6[[#This Row],[Fonction]],Fonctionnement[Frais généraux],Overhead6[[#Headers],[Frais indirectement liés à l''activité - Autres fonctions - Administration / Logistique]])</f>
        <v>0</v>
      </c>
      <c r="G293" s="52">
        <f>SUMIFS(Fonctionnement[Montant],Fonctionnement[Allocation],Overhead6[[#This Row],[Fonction]],Fonctionnement[Frais généraux],Overhead6[[#Headers],[Frais indirectement liés à l''activité - Autres fonctions - Chargé(e) de direction]])</f>
        <v>0</v>
      </c>
      <c r="H293" s="53">
        <f>SUMIFS(Fonctionnement[Montant],Fonctionnement[Allocation],Overhead6[[#This Row],[Fonction]],Fonctionnement[Frais généraux],Overhead6[[#Headers],[Frais indirectement liés à l''activité - Autres fonctions - Direction générale]])</f>
        <v>0</v>
      </c>
    </row>
    <row r="294" spans="1:8" x14ac:dyDescent="0.25">
      <c r="A294" s="738"/>
      <c r="B294" s="57" t="s">
        <v>100</v>
      </c>
      <c r="C294" s="52">
        <f>SUMIFS(Fonctionnement[Montant],Fonctionnement[Allocation],Overhead6[[#This Row],[Fonction]],Fonctionnement[Frais généraux],Overhead6[[#Headers],[Frais directement liés à l''activité - Encadrement]])</f>
        <v>0</v>
      </c>
      <c r="D294" s="52">
        <f>SUMIFS(Fonctionnement[Montant],Fonctionnement[Allocation],Overhead6[[#This Row],[Fonction]],Fonctionnement[Frais généraux],Overhead6[[#Headers],[Frais directement liés à l''activité - Logistique]])</f>
        <v>0</v>
      </c>
      <c r="E294" s="52">
        <f>SUMIFS(Fonctionnement[Montant],Fonctionnement[Allocation],Overhead6[[#This Row],[Fonction]],Fonctionnement[Frais généraux],Overhead6[[#Headers],[Frais indirectement liés à l''activité - Prévues par la loi ]])</f>
        <v>0</v>
      </c>
      <c r="F294" s="52">
        <f>SUMIFS(Fonctionnement[Montant],Fonctionnement[Allocation],Overhead6[[#This Row],[Fonction]],Fonctionnement[Frais généraux],Overhead6[[#Headers],[Frais indirectement liés à l''activité - Autres fonctions - Administration / Logistique]])</f>
        <v>0</v>
      </c>
      <c r="G294" s="52">
        <f>SUMIFS(Fonctionnement[Montant],Fonctionnement[Allocation],Overhead6[[#This Row],[Fonction]],Fonctionnement[Frais généraux],Overhead6[[#Headers],[Frais indirectement liés à l''activité - Autres fonctions - Chargé(e) de direction]])</f>
        <v>0</v>
      </c>
      <c r="H294" s="53">
        <f>SUMIFS(Fonctionnement[Montant],Fonctionnement[Allocation],Overhead6[[#This Row],[Fonction]],Fonctionnement[Frais généraux],Overhead6[[#Headers],[Frais indirectement liés à l''activité - Autres fonctions - Direction générale]])</f>
        <v>0</v>
      </c>
    </row>
    <row r="295" spans="1:8" x14ac:dyDescent="0.25">
      <c r="A295" s="738"/>
      <c r="B295" s="57" t="s">
        <v>101</v>
      </c>
      <c r="C295" s="52">
        <f>SUMIFS(Fonctionnement[Montant],Fonctionnement[Allocation],Overhead6[[#This Row],[Fonction]],Fonctionnement[Frais généraux],Overhead6[[#Headers],[Frais directement liés à l''activité - Encadrement]])</f>
        <v>0</v>
      </c>
      <c r="D295" s="52">
        <f>SUMIFS(Fonctionnement[Montant],Fonctionnement[Allocation],Overhead6[[#This Row],[Fonction]],Fonctionnement[Frais généraux],Overhead6[[#Headers],[Frais directement liés à l''activité - Logistique]])</f>
        <v>0</v>
      </c>
      <c r="E295" s="52">
        <f>SUMIFS(Fonctionnement[Montant],Fonctionnement[Allocation],Overhead6[[#This Row],[Fonction]],Fonctionnement[Frais généraux],Overhead6[[#Headers],[Frais indirectement liés à l''activité - Prévues par la loi ]])</f>
        <v>0</v>
      </c>
      <c r="F295" s="52">
        <f>SUMIFS(Fonctionnement[Montant],Fonctionnement[Allocation],Overhead6[[#This Row],[Fonction]],Fonctionnement[Frais généraux],Overhead6[[#Headers],[Frais indirectement liés à l''activité - Autres fonctions - Administration / Logistique]])</f>
        <v>0</v>
      </c>
      <c r="G295" s="52">
        <f>SUMIFS(Fonctionnement[Montant],Fonctionnement[Allocation],Overhead6[[#This Row],[Fonction]],Fonctionnement[Frais généraux],Overhead6[[#Headers],[Frais indirectement liés à l''activité - Autres fonctions - Chargé(e) de direction]])</f>
        <v>0</v>
      </c>
      <c r="H295" s="53">
        <f>SUMIFS(Fonctionnement[Montant],Fonctionnement[Allocation],Overhead6[[#This Row],[Fonction]],Fonctionnement[Frais généraux],Overhead6[[#Headers],[Frais indirectement liés à l''activité - Autres fonctions - Direction générale]])</f>
        <v>0</v>
      </c>
    </row>
    <row r="296" spans="1:8" x14ac:dyDescent="0.25">
      <c r="A296" s="738"/>
      <c r="B296" s="57" t="s">
        <v>102</v>
      </c>
      <c r="C296" s="52">
        <f>SUMIFS(Fonctionnement[Montant],Fonctionnement[Allocation],Overhead6[[#This Row],[Fonction]],Fonctionnement[Frais généraux],Overhead6[[#Headers],[Frais directement liés à l''activité - Encadrement]])</f>
        <v>0</v>
      </c>
      <c r="D296" s="52">
        <f>SUMIFS(Fonctionnement[Montant],Fonctionnement[Allocation],Overhead6[[#This Row],[Fonction]],Fonctionnement[Frais généraux],Overhead6[[#Headers],[Frais directement liés à l''activité - Logistique]])</f>
        <v>0</v>
      </c>
      <c r="E296" s="52">
        <f>SUMIFS(Fonctionnement[Montant],Fonctionnement[Allocation],Overhead6[[#This Row],[Fonction]],Fonctionnement[Frais généraux],Overhead6[[#Headers],[Frais indirectement liés à l''activité - Prévues par la loi ]])</f>
        <v>0</v>
      </c>
      <c r="F296" s="52">
        <f>SUMIFS(Fonctionnement[Montant],Fonctionnement[Allocation],Overhead6[[#This Row],[Fonction]],Fonctionnement[Frais généraux],Overhead6[[#Headers],[Frais indirectement liés à l''activité - Autres fonctions - Administration / Logistique]])</f>
        <v>0</v>
      </c>
      <c r="G296" s="52">
        <f>SUMIFS(Fonctionnement[Montant],Fonctionnement[Allocation],Overhead6[[#This Row],[Fonction]],Fonctionnement[Frais généraux],Overhead6[[#Headers],[Frais indirectement liés à l''activité - Autres fonctions - Chargé(e) de direction]])</f>
        <v>0</v>
      </c>
      <c r="H296" s="53">
        <f>SUMIFS(Fonctionnement[Montant],Fonctionnement[Allocation],Overhead6[[#This Row],[Fonction]],Fonctionnement[Frais généraux],Overhead6[[#Headers],[Frais indirectement liés à l''activité - Autres fonctions - Direction générale]])</f>
        <v>0</v>
      </c>
    </row>
    <row r="297" spans="1:8" x14ac:dyDescent="0.25">
      <c r="A297" s="738"/>
      <c r="B297" s="57" t="s">
        <v>103</v>
      </c>
      <c r="C297" s="52">
        <f>SUMIFS(Fonctionnement[Montant],Fonctionnement[Allocation],Overhead6[[#This Row],[Fonction]],Fonctionnement[Frais généraux],Overhead6[[#Headers],[Frais directement liés à l''activité - Encadrement]])</f>
        <v>0</v>
      </c>
      <c r="D297" s="52">
        <f>SUMIFS(Fonctionnement[Montant],Fonctionnement[Allocation],Overhead6[[#This Row],[Fonction]],Fonctionnement[Frais généraux],Overhead6[[#Headers],[Frais directement liés à l''activité - Logistique]])</f>
        <v>0</v>
      </c>
      <c r="E297" s="52">
        <f>SUMIFS(Fonctionnement[Montant],Fonctionnement[Allocation],Overhead6[[#This Row],[Fonction]],Fonctionnement[Frais généraux],Overhead6[[#Headers],[Frais indirectement liés à l''activité - Prévues par la loi ]])</f>
        <v>0</v>
      </c>
      <c r="F297" s="52">
        <f>SUMIFS(Fonctionnement[Montant],Fonctionnement[Allocation],Overhead6[[#This Row],[Fonction]],Fonctionnement[Frais généraux],Overhead6[[#Headers],[Frais indirectement liés à l''activité - Autres fonctions - Administration / Logistique]])</f>
        <v>0</v>
      </c>
      <c r="G297" s="52">
        <f>SUMIFS(Fonctionnement[Montant],Fonctionnement[Allocation],Overhead6[[#This Row],[Fonction]],Fonctionnement[Frais généraux],Overhead6[[#Headers],[Frais indirectement liés à l''activité - Autres fonctions - Chargé(e) de direction]])</f>
        <v>0</v>
      </c>
      <c r="H297" s="53">
        <f>SUMIFS(Fonctionnement[Montant],Fonctionnement[Allocation],Overhead6[[#This Row],[Fonction]],Fonctionnement[Frais généraux],Overhead6[[#Headers],[Frais indirectement liés à l''activité - Autres fonctions - Direction générale]])</f>
        <v>0</v>
      </c>
    </row>
    <row r="298" spans="1:8" x14ac:dyDescent="0.25">
      <c r="A298" s="738"/>
      <c r="B298" s="57" t="s">
        <v>104</v>
      </c>
      <c r="C298" s="52">
        <f>SUMIFS(Fonctionnement[Montant],Fonctionnement[Allocation],Overhead6[[#This Row],[Fonction]],Fonctionnement[Frais généraux],Overhead6[[#Headers],[Frais directement liés à l''activité - Encadrement]])</f>
        <v>0</v>
      </c>
      <c r="D298" s="52">
        <f>SUMIFS(Fonctionnement[Montant],Fonctionnement[Allocation],Overhead6[[#This Row],[Fonction]],Fonctionnement[Frais généraux],Overhead6[[#Headers],[Frais directement liés à l''activité - Logistique]])</f>
        <v>0</v>
      </c>
      <c r="E298" s="52">
        <f>SUMIFS(Fonctionnement[Montant],Fonctionnement[Allocation],Overhead6[[#This Row],[Fonction]],Fonctionnement[Frais généraux],Overhead6[[#Headers],[Frais indirectement liés à l''activité - Prévues par la loi ]])</f>
        <v>0</v>
      </c>
      <c r="F298" s="52">
        <f>SUMIFS(Fonctionnement[Montant],Fonctionnement[Allocation],Overhead6[[#This Row],[Fonction]],Fonctionnement[Frais généraux],Overhead6[[#Headers],[Frais indirectement liés à l''activité - Autres fonctions - Administration / Logistique]])</f>
        <v>0</v>
      </c>
      <c r="G298" s="52">
        <f>SUMIFS(Fonctionnement[Montant],Fonctionnement[Allocation],Overhead6[[#This Row],[Fonction]],Fonctionnement[Frais généraux],Overhead6[[#Headers],[Frais indirectement liés à l''activité - Autres fonctions - Chargé(e) de direction]])</f>
        <v>0</v>
      </c>
      <c r="H298" s="53">
        <f>SUMIFS(Fonctionnement[Montant],Fonctionnement[Allocation],Overhead6[[#This Row],[Fonction]],Fonctionnement[Frais généraux],Overhead6[[#Headers],[Frais indirectement liés à l''activité - Autres fonctions - Direction générale]])</f>
        <v>0</v>
      </c>
    </row>
    <row r="299" spans="1:8" x14ac:dyDescent="0.25">
      <c r="A299" s="738"/>
      <c r="B299" s="57" t="s">
        <v>105</v>
      </c>
      <c r="C299" s="52">
        <f>SUMIFS(Fonctionnement[Montant],Fonctionnement[Allocation],Overhead6[[#This Row],[Fonction]],Fonctionnement[Frais généraux],Overhead6[[#Headers],[Frais directement liés à l''activité - Encadrement]])</f>
        <v>0</v>
      </c>
      <c r="D299" s="52">
        <f>SUMIFS(Fonctionnement[Montant],Fonctionnement[Allocation],Overhead6[[#This Row],[Fonction]],Fonctionnement[Frais généraux],Overhead6[[#Headers],[Frais directement liés à l''activité - Logistique]])</f>
        <v>0</v>
      </c>
      <c r="E299" s="52">
        <f>SUMIFS(Fonctionnement[Montant],Fonctionnement[Allocation],Overhead6[[#This Row],[Fonction]],Fonctionnement[Frais généraux],Overhead6[[#Headers],[Frais indirectement liés à l''activité - Prévues par la loi ]])</f>
        <v>0</v>
      </c>
      <c r="F299" s="52">
        <f>SUMIFS(Fonctionnement[Montant],Fonctionnement[Allocation],Overhead6[[#This Row],[Fonction]],Fonctionnement[Frais généraux],Overhead6[[#Headers],[Frais indirectement liés à l''activité - Autres fonctions - Administration / Logistique]])</f>
        <v>0</v>
      </c>
      <c r="G299" s="52">
        <f>SUMIFS(Fonctionnement[Montant],Fonctionnement[Allocation],Overhead6[[#This Row],[Fonction]],Fonctionnement[Frais généraux],Overhead6[[#Headers],[Frais indirectement liés à l''activité - Autres fonctions - Chargé(e) de direction]])</f>
        <v>0</v>
      </c>
      <c r="H299" s="53">
        <f>SUMIFS(Fonctionnement[Montant],Fonctionnement[Allocation],Overhead6[[#This Row],[Fonction]],Fonctionnement[Frais généraux],Overhead6[[#Headers],[Frais indirectement liés à l''activité - Autres fonctions - Direction générale]])</f>
        <v>0</v>
      </c>
    </row>
    <row r="300" spans="1:8" x14ac:dyDescent="0.25">
      <c r="A300" s="738"/>
      <c r="B300" s="57" t="s">
        <v>106</v>
      </c>
      <c r="C300" s="52">
        <f>SUMIFS(Fonctionnement[Montant],Fonctionnement[Allocation],Overhead6[[#This Row],[Fonction]],Fonctionnement[Frais généraux],Overhead6[[#Headers],[Frais directement liés à l''activité - Encadrement]])</f>
        <v>0</v>
      </c>
      <c r="D300" s="52">
        <f>SUMIFS(Fonctionnement[Montant],Fonctionnement[Allocation],Overhead6[[#This Row],[Fonction]],Fonctionnement[Frais généraux],Overhead6[[#Headers],[Frais directement liés à l''activité - Logistique]])</f>
        <v>0</v>
      </c>
      <c r="E300" s="52">
        <f>SUMIFS(Fonctionnement[Montant],Fonctionnement[Allocation],Overhead6[[#This Row],[Fonction]],Fonctionnement[Frais généraux],Overhead6[[#Headers],[Frais indirectement liés à l''activité - Prévues par la loi ]])</f>
        <v>0</v>
      </c>
      <c r="F300" s="52">
        <f>SUMIFS(Fonctionnement[Montant],Fonctionnement[Allocation],Overhead6[[#This Row],[Fonction]],Fonctionnement[Frais généraux],Overhead6[[#Headers],[Frais indirectement liés à l''activité - Autres fonctions - Administration / Logistique]])</f>
        <v>0</v>
      </c>
      <c r="G300" s="52">
        <f>SUMIFS(Fonctionnement[Montant],Fonctionnement[Allocation],Overhead6[[#This Row],[Fonction]],Fonctionnement[Frais généraux],Overhead6[[#Headers],[Frais indirectement liés à l''activité - Autres fonctions - Chargé(e) de direction]])</f>
        <v>0</v>
      </c>
      <c r="H300" s="53">
        <f>SUMIFS(Fonctionnement[Montant],Fonctionnement[Allocation],Overhead6[[#This Row],[Fonction]],Fonctionnement[Frais généraux],Overhead6[[#Headers],[Frais indirectement liés à l''activité - Autres fonctions - Direction générale]])</f>
        <v>0</v>
      </c>
    </row>
    <row r="301" spans="1:8" x14ac:dyDescent="0.25">
      <c r="A301" s="738"/>
      <c r="B301" s="57" t="s">
        <v>107</v>
      </c>
      <c r="C301" s="52">
        <f>SUMIFS(Fonctionnement[Montant],Fonctionnement[Allocation],Overhead6[[#This Row],[Fonction]],Fonctionnement[Frais généraux],Overhead6[[#Headers],[Frais directement liés à l''activité - Encadrement]])</f>
        <v>0</v>
      </c>
      <c r="D301" s="52">
        <f>SUMIFS(Fonctionnement[Montant],Fonctionnement[Allocation],Overhead6[[#This Row],[Fonction]],Fonctionnement[Frais généraux],Overhead6[[#Headers],[Frais directement liés à l''activité - Logistique]])</f>
        <v>0</v>
      </c>
      <c r="E301" s="52">
        <f>SUMIFS(Fonctionnement[Montant],Fonctionnement[Allocation],Overhead6[[#This Row],[Fonction]],Fonctionnement[Frais généraux],Overhead6[[#Headers],[Frais indirectement liés à l''activité - Prévues par la loi ]])</f>
        <v>0</v>
      </c>
      <c r="F301" s="52">
        <f>SUMIFS(Fonctionnement[Montant],Fonctionnement[Allocation],Overhead6[[#This Row],[Fonction]],Fonctionnement[Frais généraux],Overhead6[[#Headers],[Frais indirectement liés à l''activité - Autres fonctions - Administration / Logistique]])</f>
        <v>0</v>
      </c>
      <c r="G301" s="52">
        <f>SUMIFS(Fonctionnement[Montant],Fonctionnement[Allocation],Overhead6[[#This Row],[Fonction]],Fonctionnement[Frais généraux],Overhead6[[#Headers],[Frais indirectement liés à l''activité - Autres fonctions - Chargé(e) de direction]])</f>
        <v>0</v>
      </c>
      <c r="H301" s="53">
        <f>SUMIFS(Fonctionnement[Montant],Fonctionnement[Allocation],Overhead6[[#This Row],[Fonction]],Fonctionnement[Frais généraux],Overhead6[[#Headers],[Frais indirectement liés à l''activité - Autres fonctions - Direction générale]])</f>
        <v>0</v>
      </c>
    </row>
    <row r="302" spans="1:8" x14ac:dyDescent="0.25">
      <c r="A302" s="738"/>
      <c r="B302" s="57" t="s">
        <v>108</v>
      </c>
      <c r="C302" s="52">
        <f>SUMIFS(Fonctionnement[Montant],Fonctionnement[Allocation],Overhead6[[#This Row],[Fonction]],Fonctionnement[Frais généraux],Overhead6[[#Headers],[Frais directement liés à l''activité - Encadrement]])</f>
        <v>0</v>
      </c>
      <c r="D302" s="52">
        <f>SUMIFS(Fonctionnement[Montant],Fonctionnement[Allocation],Overhead6[[#This Row],[Fonction]],Fonctionnement[Frais généraux],Overhead6[[#Headers],[Frais directement liés à l''activité - Logistique]])</f>
        <v>0</v>
      </c>
      <c r="E302" s="52">
        <f>SUMIFS(Fonctionnement[Montant],Fonctionnement[Allocation],Overhead6[[#This Row],[Fonction]],Fonctionnement[Frais généraux],Overhead6[[#Headers],[Frais indirectement liés à l''activité - Prévues par la loi ]])</f>
        <v>0</v>
      </c>
      <c r="F302" s="52">
        <f>SUMIFS(Fonctionnement[Montant],Fonctionnement[Allocation],Overhead6[[#This Row],[Fonction]],Fonctionnement[Frais généraux],Overhead6[[#Headers],[Frais indirectement liés à l''activité - Autres fonctions - Administration / Logistique]])</f>
        <v>0</v>
      </c>
      <c r="G302" s="52">
        <f>SUMIFS(Fonctionnement[Montant],Fonctionnement[Allocation],Overhead6[[#This Row],[Fonction]],Fonctionnement[Frais généraux],Overhead6[[#Headers],[Frais indirectement liés à l''activité - Autres fonctions - Chargé(e) de direction]])</f>
        <v>0</v>
      </c>
      <c r="H302" s="53">
        <f>SUMIFS(Fonctionnement[Montant],Fonctionnement[Allocation],Overhead6[[#This Row],[Fonction]],Fonctionnement[Frais généraux],Overhead6[[#Headers],[Frais indirectement liés à l''activité - Autres fonctions - Direction générale]])</f>
        <v>0</v>
      </c>
    </row>
    <row r="303" spans="1:8" x14ac:dyDescent="0.25">
      <c r="A303" s="738"/>
      <c r="B303" s="57" t="s">
        <v>109</v>
      </c>
      <c r="C303" s="52">
        <f>SUMIFS(Fonctionnement[Montant],Fonctionnement[Allocation],Overhead6[[#This Row],[Fonction]],Fonctionnement[Frais généraux],Overhead6[[#Headers],[Frais directement liés à l''activité - Encadrement]])</f>
        <v>0</v>
      </c>
      <c r="D303" s="52">
        <f>SUMIFS(Fonctionnement[Montant],Fonctionnement[Allocation],Overhead6[[#This Row],[Fonction]],Fonctionnement[Frais généraux],Overhead6[[#Headers],[Frais directement liés à l''activité - Logistique]])</f>
        <v>0</v>
      </c>
      <c r="E303" s="52">
        <f>SUMIFS(Fonctionnement[Montant],Fonctionnement[Allocation],Overhead6[[#This Row],[Fonction]],Fonctionnement[Frais généraux],Overhead6[[#Headers],[Frais indirectement liés à l''activité - Prévues par la loi ]])</f>
        <v>0</v>
      </c>
      <c r="F303" s="52">
        <f>SUMIFS(Fonctionnement[Montant],Fonctionnement[Allocation],Overhead6[[#This Row],[Fonction]],Fonctionnement[Frais généraux],Overhead6[[#Headers],[Frais indirectement liés à l''activité - Autres fonctions - Administration / Logistique]])</f>
        <v>0</v>
      </c>
      <c r="G303" s="52">
        <f>SUMIFS(Fonctionnement[Montant],Fonctionnement[Allocation],Overhead6[[#This Row],[Fonction]],Fonctionnement[Frais généraux],Overhead6[[#Headers],[Frais indirectement liés à l''activité - Autres fonctions - Chargé(e) de direction]])</f>
        <v>0</v>
      </c>
      <c r="H303" s="53">
        <f>SUMIFS(Fonctionnement[Montant],Fonctionnement[Allocation],Overhead6[[#This Row],[Fonction]],Fonctionnement[Frais généraux],Overhead6[[#Headers],[Frais indirectement liés à l''activité - Autres fonctions - Direction générale]])</f>
        <v>0</v>
      </c>
    </row>
    <row r="304" spans="1:8" ht="15.75" thickBot="1" x14ac:dyDescent="0.3">
      <c r="A304" s="739"/>
      <c r="B304" s="62" t="s">
        <v>610</v>
      </c>
      <c r="C304" s="54">
        <f>SUMIFS(Fonctionnement[Montant],Fonctionnement[Allocation],Overhead6[[#This Row],[Fonction]],Fonctionnement[Frais généraux],Overhead6[[#Headers],[Frais directement liés à l''activité - Encadrement]])</f>
        <v>0</v>
      </c>
      <c r="D304" s="54">
        <f>SUMIFS(Fonctionnement[Montant],Fonctionnement[Allocation],Overhead6[[#This Row],[Fonction]],Fonctionnement[Frais généraux],Overhead6[[#Headers],[Frais directement liés à l''activité - Logistique]])</f>
        <v>0</v>
      </c>
      <c r="E304" s="54">
        <f>SUMIFS(Fonctionnement[Montant],Fonctionnement[Allocation],Overhead6[[#This Row],[Fonction]],Fonctionnement[Frais généraux],Overhead6[[#Headers],[Frais indirectement liés à l''activité - Prévues par la loi ]])</f>
        <v>0</v>
      </c>
      <c r="F304" s="54">
        <f>SUMIFS(Fonctionnement[Montant],Fonctionnement[Allocation],Overhead6[[#This Row],[Fonction]],Fonctionnement[Frais généraux],Overhead6[[#Headers],[Frais indirectement liés à l''activité - Autres fonctions - Administration / Logistique]])</f>
        <v>0</v>
      </c>
      <c r="G304" s="54">
        <f>SUMIFS(Fonctionnement[Montant],Fonctionnement[Allocation],Overhead6[[#This Row],[Fonction]],Fonctionnement[Frais généraux],Overhead6[[#Headers],[Frais indirectement liés à l''activité - Autres fonctions - Chargé(e) de direction]])</f>
        <v>0</v>
      </c>
      <c r="H304" s="55">
        <f>SUMIFS(Fonctionnement[Montant],Fonctionnement[Allocation],Overhead6[[#This Row],[Fonction]],Fonctionnement[Frais généraux],Overhead6[[#Headers],[Frais indirectement liés à l''activité - Autres fonctions - Direction générale]])</f>
        <v>0</v>
      </c>
    </row>
    <row r="305" spans="1:8" x14ac:dyDescent="0.25">
      <c r="A305" s="737" t="s">
        <v>358</v>
      </c>
      <c r="B305" s="57" t="s">
        <v>93</v>
      </c>
      <c r="C305" s="52">
        <f>SUMIFS(CCTSAS[Total éligible],CCTSAS[Allocation fonctions],Overhead6[[#This Row],[Fonction]],CCTSAS[Frais généraux],Overhead6[[#Headers],[Frais directement liés à l''activité - Encadrement]])</f>
        <v>0</v>
      </c>
      <c r="D305" s="52">
        <f>SUMIFS(CCTSAS[Total éligible],CCTSAS[Allocation fonctions],Overhead6[[#This Row],[Fonction]],CCTSAS[Frais généraux],Overhead6[[#Headers],[Frais directement liés à l''activité - Logistique]])</f>
        <v>0</v>
      </c>
      <c r="E305" s="52">
        <f>SUMIFS(CCTSAS[Total éligible],CCTSAS[Allocation fonctions],Overhead6[[#This Row],[Fonction]],CCTSAS[Frais généraux],Overhead6[[#Headers],[Frais indirectement liés à l''activité - Prévues par la loi ]])</f>
        <v>0</v>
      </c>
      <c r="F305" s="52">
        <f>SUMIFS(CCTSAS[Total éligible],CCTSAS[Allocation fonctions],Overhead6[[#This Row],[Fonction]],CCTSAS[Frais généraux],Overhead6[[#Headers],[Frais indirectement liés à l''activité - Autres fonctions - Administration / Logistique]])</f>
        <v>0</v>
      </c>
      <c r="G305" s="52">
        <f>SUMIFS(CCTSAS[Total éligible],CCTSAS[Allocation fonctions],Overhead6[[#This Row],[Fonction]],CCTSAS[Frais généraux],Overhead6[[#Headers],[Frais indirectement liés à l''activité - Autres fonctions - Chargé(e) de direction]])</f>
        <v>0</v>
      </c>
      <c r="H305" s="53">
        <f>SUMIFS(CCTSAS[Total éligible],CCTSAS[Allocation fonctions],Overhead6[[#This Row],[Fonction]],CCTSAS[Frais généraux],Overhead6[[#Headers],[Frais indirectement liés à l''activité - Autres fonctions - Direction générale]])</f>
        <v>0</v>
      </c>
    </row>
    <row r="306" spans="1:8" x14ac:dyDescent="0.25">
      <c r="A306" s="738"/>
      <c r="B306" s="57" t="s">
        <v>94</v>
      </c>
      <c r="C306" s="52">
        <f>SUMIFS(CCTSAS[Total éligible],CCTSAS[Allocation fonctions],Overhead6[[#This Row],[Fonction]],CCTSAS[Frais généraux],Overhead6[[#Headers],[Frais directement liés à l''activité - Encadrement]])</f>
        <v>0</v>
      </c>
      <c r="D306" s="52">
        <f>SUMIFS(CCTSAS[Total éligible],CCTSAS[Allocation fonctions],Overhead6[[#This Row],[Fonction]],CCTSAS[Frais généraux],Overhead6[[#Headers],[Frais directement liés à l''activité - Logistique]])</f>
        <v>0</v>
      </c>
      <c r="E306" s="52">
        <f>SUMIFS(CCTSAS[Total éligible],CCTSAS[Allocation fonctions],Overhead6[[#This Row],[Fonction]],CCTSAS[Frais généraux],Overhead6[[#Headers],[Frais indirectement liés à l''activité - Prévues par la loi ]])</f>
        <v>0</v>
      </c>
      <c r="F306" s="52">
        <f>SUMIFS(CCTSAS[Total éligible],CCTSAS[Allocation fonctions],Overhead6[[#This Row],[Fonction]],CCTSAS[Frais généraux],Overhead6[[#Headers],[Frais indirectement liés à l''activité - Autres fonctions - Administration / Logistique]])</f>
        <v>0</v>
      </c>
      <c r="G306" s="52">
        <f>SUMIFS(CCTSAS[Total éligible],CCTSAS[Allocation fonctions],Overhead6[[#This Row],[Fonction]],CCTSAS[Frais généraux],Overhead6[[#Headers],[Frais indirectement liés à l''activité - Autres fonctions - Chargé(e) de direction]])</f>
        <v>0</v>
      </c>
      <c r="H306" s="53">
        <f>SUMIFS(CCTSAS[Total éligible],CCTSAS[Allocation fonctions],Overhead6[[#This Row],[Fonction]],CCTSAS[Frais généraux],Overhead6[[#Headers],[Frais indirectement liés à l''activité - Autres fonctions - Direction générale]])</f>
        <v>0</v>
      </c>
    </row>
    <row r="307" spans="1:8" x14ac:dyDescent="0.25">
      <c r="A307" s="738"/>
      <c r="B307" s="57" t="s">
        <v>95</v>
      </c>
      <c r="C307" s="52">
        <f>SUMIFS(CCTSAS[Total éligible],CCTSAS[Allocation fonctions],Overhead6[[#This Row],[Fonction]],CCTSAS[Frais généraux],Overhead6[[#Headers],[Frais directement liés à l''activité - Encadrement]])</f>
        <v>0</v>
      </c>
      <c r="D307" s="52">
        <f>SUMIFS(CCTSAS[Total éligible],CCTSAS[Allocation fonctions],Overhead6[[#This Row],[Fonction]],CCTSAS[Frais généraux],Overhead6[[#Headers],[Frais directement liés à l''activité - Logistique]])</f>
        <v>0</v>
      </c>
      <c r="E307" s="52">
        <f>SUMIFS(CCTSAS[Total éligible],CCTSAS[Allocation fonctions],Overhead6[[#This Row],[Fonction]],CCTSAS[Frais généraux],Overhead6[[#Headers],[Frais indirectement liés à l''activité - Prévues par la loi ]])</f>
        <v>0</v>
      </c>
      <c r="F307" s="52">
        <f>SUMIFS(CCTSAS[Total éligible],CCTSAS[Allocation fonctions],Overhead6[[#This Row],[Fonction]],CCTSAS[Frais généraux],Overhead6[[#Headers],[Frais indirectement liés à l''activité - Autres fonctions - Administration / Logistique]])</f>
        <v>0</v>
      </c>
      <c r="G307" s="52">
        <f>SUMIFS(CCTSAS[Total éligible],CCTSAS[Allocation fonctions],Overhead6[[#This Row],[Fonction]],CCTSAS[Frais généraux],Overhead6[[#Headers],[Frais indirectement liés à l''activité - Autres fonctions - Chargé(e) de direction]])</f>
        <v>0</v>
      </c>
      <c r="H307" s="53">
        <f>SUMIFS(CCTSAS[Total éligible],CCTSAS[Allocation fonctions],Overhead6[[#This Row],[Fonction]],CCTSAS[Frais généraux],Overhead6[[#Headers],[Frais indirectement liés à l''activité - Autres fonctions - Direction générale]])</f>
        <v>0</v>
      </c>
    </row>
    <row r="308" spans="1:8" x14ac:dyDescent="0.25">
      <c r="A308" s="738"/>
      <c r="B308" s="57" t="s">
        <v>96</v>
      </c>
      <c r="C308" s="52">
        <f>SUMIFS(CCTSAS[Total éligible],CCTSAS[Allocation fonctions],Overhead6[[#This Row],[Fonction]],CCTSAS[Frais généraux],Overhead6[[#Headers],[Frais directement liés à l''activité - Encadrement]])</f>
        <v>0</v>
      </c>
      <c r="D308" s="52">
        <f>SUMIFS(CCTSAS[Total éligible],CCTSAS[Allocation fonctions],Overhead6[[#This Row],[Fonction]],CCTSAS[Frais généraux],Overhead6[[#Headers],[Frais directement liés à l''activité - Logistique]])</f>
        <v>0</v>
      </c>
      <c r="E308" s="52">
        <f>SUMIFS(CCTSAS[Total éligible],CCTSAS[Allocation fonctions],Overhead6[[#This Row],[Fonction]],CCTSAS[Frais généraux],Overhead6[[#Headers],[Frais indirectement liés à l''activité - Prévues par la loi ]])</f>
        <v>0</v>
      </c>
      <c r="F308" s="52">
        <f>SUMIFS(CCTSAS[Total éligible],CCTSAS[Allocation fonctions],Overhead6[[#This Row],[Fonction]],CCTSAS[Frais généraux],Overhead6[[#Headers],[Frais indirectement liés à l''activité - Autres fonctions - Administration / Logistique]])</f>
        <v>0</v>
      </c>
      <c r="G308" s="52">
        <f>SUMIFS(CCTSAS[Total éligible],CCTSAS[Allocation fonctions],Overhead6[[#This Row],[Fonction]],CCTSAS[Frais généraux],Overhead6[[#Headers],[Frais indirectement liés à l''activité - Autres fonctions - Chargé(e) de direction]])</f>
        <v>0</v>
      </c>
      <c r="H308" s="53">
        <f>SUMIFS(CCTSAS[Total éligible],CCTSAS[Allocation fonctions],Overhead6[[#This Row],[Fonction]],CCTSAS[Frais généraux],Overhead6[[#Headers],[Frais indirectement liés à l''activité - Autres fonctions - Direction générale]])</f>
        <v>0</v>
      </c>
    </row>
    <row r="309" spans="1:8" x14ac:dyDescent="0.25">
      <c r="A309" s="738"/>
      <c r="B309" s="57" t="s">
        <v>97</v>
      </c>
      <c r="C309" s="52">
        <f>SUMIFS(CCTSAS[Total éligible],CCTSAS[Allocation fonctions],Overhead6[[#This Row],[Fonction]],CCTSAS[Frais généraux],Overhead6[[#Headers],[Frais directement liés à l''activité - Encadrement]])</f>
        <v>0</v>
      </c>
      <c r="D309" s="52">
        <f>SUMIFS(CCTSAS[Total éligible],CCTSAS[Allocation fonctions],Overhead6[[#This Row],[Fonction]],CCTSAS[Frais généraux],Overhead6[[#Headers],[Frais directement liés à l''activité - Logistique]])</f>
        <v>0</v>
      </c>
      <c r="E309" s="52">
        <f>SUMIFS(CCTSAS[Total éligible],CCTSAS[Allocation fonctions],Overhead6[[#This Row],[Fonction]],CCTSAS[Frais généraux],Overhead6[[#Headers],[Frais indirectement liés à l''activité - Prévues par la loi ]])</f>
        <v>0</v>
      </c>
      <c r="F309" s="52">
        <f>SUMIFS(CCTSAS[Total éligible],CCTSAS[Allocation fonctions],Overhead6[[#This Row],[Fonction]],CCTSAS[Frais généraux],Overhead6[[#Headers],[Frais indirectement liés à l''activité - Autres fonctions - Administration / Logistique]])</f>
        <v>0</v>
      </c>
      <c r="G309" s="52">
        <f>SUMIFS(CCTSAS[Total éligible],CCTSAS[Allocation fonctions],Overhead6[[#This Row],[Fonction]],CCTSAS[Frais généraux],Overhead6[[#Headers],[Frais indirectement liés à l''activité - Autres fonctions - Chargé(e) de direction]])</f>
        <v>0</v>
      </c>
      <c r="H309" s="53">
        <f>SUMIFS(CCTSAS[Total éligible],CCTSAS[Allocation fonctions],Overhead6[[#This Row],[Fonction]],CCTSAS[Frais généraux],Overhead6[[#Headers],[Frais indirectement liés à l''activité - Autres fonctions - Direction générale]])</f>
        <v>0</v>
      </c>
    </row>
    <row r="310" spans="1:8" x14ac:dyDescent="0.25">
      <c r="A310" s="738"/>
      <c r="B310" s="57" t="s">
        <v>111</v>
      </c>
      <c r="C310" s="52">
        <f>SUMIFS(CCTSAS[Total éligible],CCTSAS[Allocation fonctions],Overhead6[[#This Row],[Fonction]],CCTSAS[Frais généraux],Overhead6[[#Headers],[Frais directement liés à l''activité - Encadrement]])</f>
        <v>0</v>
      </c>
      <c r="D310" s="52">
        <f>SUMIFS(CCTSAS[Total éligible],CCTSAS[Allocation fonctions],Overhead6[[#This Row],[Fonction]],CCTSAS[Frais généraux],Overhead6[[#Headers],[Frais directement liés à l''activité - Logistique]])</f>
        <v>0</v>
      </c>
      <c r="E310" s="52">
        <f>SUMIFS(CCTSAS[Total éligible],CCTSAS[Allocation fonctions],Overhead6[[#This Row],[Fonction]],CCTSAS[Frais généraux],Overhead6[[#Headers],[Frais indirectement liés à l''activité - Prévues par la loi ]])</f>
        <v>0</v>
      </c>
      <c r="F310" s="52">
        <f>SUMIFS(CCTSAS[Total éligible],CCTSAS[Allocation fonctions],Overhead6[[#This Row],[Fonction]],CCTSAS[Frais généraux],Overhead6[[#Headers],[Frais indirectement liés à l''activité - Autres fonctions - Administration / Logistique]])</f>
        <v>0</v>
      </c>
      <c r="G310" s="52">
        <f>SUMIFS(CCTSAS[Total éligible],CCTSAS[Allocation fonctions],Overhead6[[#This Row],[Fonction]],CCTSAS[Frais généraux],Overhead6[[#Headers],[Frais indirectement liés à l''activité - Autres fonctions - Chargé(e) de direction]])</f>
        <v>0</v>
      </c>
      <c r="H310" s="53">
        <f>SUMIFS(CCTSAS[Total éligible],CCTSAS[Allocation fonctions],Overhead6[[#This Row],[Fonction]],CCTSAS[Frais généraux],Overhead6[[#Headers],[Frais indirectement liés à l''activité - Autres fonctions - Direction générale]])</f>
        <v>0</v>
      </c>
    </row>
    <row r="311" spans="1:8" x14ac:dyDescent="0.25">
      <c r="A311" s="738"/>
      <c r="B311" s="57" t="s">
        <v>98</v>
      </c>
      <c r="C311" s="52">
        <f>SUMIFS(CCTSAS[Total éligible],CCTSAS[Allocation fonctions],Overhead6[[#This Row],[Fonction]],CCTSAS[Frais généraux],Overhead6[[#Headers],[Frais directement liés à l''activité - Encadrement]])</f>
        <v>0</v>
      </c>
      <c r="D311" s="52">
        <f>SUMIFS(CCTSAS[Total éligible],CCTSAS[Allocation fonctions],Overhead6[[#This Row],[Fonction]],CCTSAS[Frais généraux],Overhead6[[#Headers],[Frais directement liés à l''activité - Logistique]])</f>
        <v>0</v>
      </c>
      <c r="E311" s="52">
        <f>SUMIFS(CCTSAS[Total éligible],CCTSAS[Allocation fonctions],Overhead6[[#This Row],[Fonction]],CCTSAS[Frais généraux],Overhead6[[#Headers],[Frais indirectement liés à l''activité - Prévues par la loi ]])</f>
        <v>0</v>
      </c>
      <c r="F311" s="52">
        <f>SUMIFS(CCTSAS[Total éligible],CCTSAS[Allocation fonctions],Overhead6[[#This Row],[Fonction]],CCTSAS[Frais généraux],Overhead6[[#Headers],[Frais indirectement liés à l''activité - Autres fonctions - Administration / Logistique]])</f>
        <v>0</v>
      </c>
      <c r="G311" s="52">
        <f>SUMIFS(CCTSAS[Total éligible],CCTSAS[Allocation fonctions],Overhead6[[#This Row],[Fonction]],CCTSAS[Frais généraux],Overhead6[[#Headers],[Frais indirectement liés à l''activité - Autres fonctions - Chargé(e) de direction]])</f>
        <v>0</v>
      </c>
      <c r="H311" s="53">
        <f>SUMIFS(CCTSAS[Total éligible],CCTSAS[Allocation fonctions],Overhead6[[#This Row],[Fonction]],CCTSAS[Frais généraux],Overhead6[[#Headers],[Frais indirectement liés à l''activité - Autres fonctions - Direction générale]])</f>
        <v>0</v>
      </c>
    </row>
    <row r="312" spans="1:8" x14ac:dyDescent="0.25">
      <c r="A312" s="738"/>
      <c r="B312" s="57" t="s">
        <v>99</v>
      </c>
      <c r="C312" s="52">
        <f>SUMIFS(CCTSAS[Total éligible],CCTSAS[Allocation fonctions],Overhead6[[#This Row],[Fonction]],CCTSAS[Frais généraux],Overhead6[[#Headers],[Frais directement liés à l''activité - Encadrement]])</f>
        <v>0</v>
      </c>
      <c r="D312" s="52">
        <f>SUMIFS(CCTSAS[Total éligible],CCTSAS[Allocation fonctions],Overhead6[[#This Row],[Fonction]],CCTSAS[Frais généraux],Overhead6[[#Headers],[Frais directement liés à l''activité - Logistique]])</f>
        <v>0</v>
      </c>
      <c r="E312" s="52">
        <f>SUMIFS(CCTSAS[Total éligible],CCTSAS[Allocation fonctions],Overhead6[[#This Row],[Fonction]],CCTSAS[Frais généraux],Overhead6[[#Headers],[Frais indirectement liés à l''activité - Prévues par la loi ]])</f>
        <v>0</v>
      </c>
      <c r="F312" s="52">
        <f>SUMIFS(CCTSAS[Total éligible],CCTSAS[Allocation fonctions],Overhead6[[#This Row],[Fonction]],CCTSAS[Frais généraux],Overhead6[[#Headers],[Frais indirectement liés à l''activité - Autres fonctions - Administration / Logistique]])</f>
        <v>0</v>
      </c>
      <c r="G312" s="52">
        <f>SUMIFS(CCTSAS[Total éligible],CCTSAS[Allocation fonctions],Overhead6[[#This Row],[Fonction]],CCTSAS[Frais généraux],Overhead6[[#Headers],[Frais indirectement liés à l''activité - Autres fonctions - Chargé(e) de direction]])</f>
        <v>0</v>
      </c>
      <c r="H312" s="53">
        <f>SUMIFS(CCTSAS[Total éligible],CCTSAS[Allocation fonctions],Overhead6[[#This Row],[Fonction]],CCTSAS[Frais généraux],Overhead6[[#Headers],[Frais indirectement liés à l''activité - Autres fonctions - Direction générale]])</f>
        <v>0</v>
      </c>
    </row>
    <row r="313" spans="1:8" x14ac:dyDescent="0.25">
      <c r="A313" s="738"/>
      <c r="B313" s="57" t="s">
        <v>100</v>
      </c>
      <c r="C313" s="52">
        <f>SUMIFS(CCTSAS[Total éligible],CCTSAS[Allocation fonctions],Overhead6[[#This Row],[Fonction]],CCTSAS[Frais généraux],Overhead6[[#Headers],[Frais directement liés à l''activité - Encadrement]])</f>
        <v>0</v>
      </c>
      <c r="D313" s="52">
        <f>SUMIFS(CCTSAS[Total éligible],CCTSAS[Allocation fonctions],Overhead6[[#This Row],[Fonction]],CCTSAS[Frais généraux],Overhead6[[#Headers],[Frais directement liés à l''activité - Logistique]])</f>
        <v>0</v>
      </c>
      <c r="E313" s="52">
        <f>SUMIFS(CCTSAS[Total éligible],CCTSAS[Allocation fonctions],Overhead6[[#This Row],[Fonction]],CCTSAS[Frais généraux],Overhead6[[#Headers],[Frais indirectement liés à l''activité - Prévues par la loi ]])</f>
        <v>0</v>
      </c>
      <c r="F313" s="52">
        <f>SUMIFS(CCTSAS[Total éligible],CCTSAS[Allocation fonctions],Overhead6[[#This Row],[Fonction]],CCTSAS[Frais généraux],Overhead6[[#Headers],[Frais indirectement liés à l''activité - Autres fonctions - Administration / Logistique]])</f>
        <v>0</v>
      </c>
      <c r="G313" s="52">
        <f>SUMIFS(CCTSAS[Total éligible],CCTSAS[Allocation fonctions],Overhead6[[#This Row],[Fonction]],CCTSAS[Frais généraux],Overhead6[[#Headers],[Frais indirectement liés à l''activité - Autres fonctions - Chargé(e) de direction]])</f>
        <v>0</v>
      </c>
      <c r="H313" s="53">
        <f>SUMIFS(CCTSAS[Total éligible],CCTSAS[Allocation fonctions],Overhead6[[#This Row],[Fonction]],CCTSAS[Frais généraux],Overhead6[[#Headers],[Frais indirectement liés à l''activité - Autres fonctions - Direction générale]])</f>
        <v>0</v>
      </c>
    </row>
    <row r="314" spans="1:8" x14ac:dyDescent="0.25">
      <c r="A314" s="738"/>
      <c r="B314" s="57" t="s">
        <v>101</v>
      </c>
      <c r="C314" s="52">
        <f>SUMIFS(CCTSAS[Total éligible],CCTSAS[Allocation fonctions],Overhead6[[#This Row],[Fonction]],CCTSAS[Frais généraux],Overhead6[[#Headers],[Frais directement liés à l''activité - Encadrement]])</f>
        <v>0</v>
      </c>
      <c r="D314" s="52">
        <f>SUMIFS(CCTSAS[Total éligible],CCTSAS[Allocation fonctions],Overhead6[[#This Row],[Fonction]],CCTSAS[Frais généraux],Overhead6[[#Headers],[Frais directement liés à l''activité - Logistique]])</f>
        <v>0</v>
      </c>
      <c r="E314" s="52">
        <f>SUMIFS(CCTSAS[Total éligible],CCTSAS[Allocation fonctions],Overhead6[[#This Row],[Fonction]],CCTSAS[Frais généraux],Overhead6[[#Headers],[Frais indirectement liés à l''activité - Prévues par la loi ]])</f>
        <v>0</v>
      </c>
      <c r="F314" s="52">
        <f>SUMIFS(CCTSAS[Total éligible],CCTSAS[Allocation fonctions],Overhead6[[#This Row],[Fonction]],CCTSAS[Frais généraux],Overhead6[[#Headers],[Frais indirectement liés à l''activité - Autres fonctions - Administration / Logistique]])</f>
        <v>0</v>
      </c>
      <c r="G314" s="52">
        <f>SUMIFS(CCTSAS[Total éligible],CCTSAS[Allocation fonctions],Overhead6[[#This Row],[Fonction]],CCTSAS[Frais généraux],Overhead6[[#Headers],[Frais indirectement liés à l''activité - Autres fonctions - Chargé(e) de direction]])</f>
        <v>0</v>
      </c>
      <c r="H314" s="53">
        <f>SUMIFS(CCTSAS[Total éligible],CCTSAS[Allocation fonctions],Overhead6[[#This Row],[Fonction]],CCTSAS[Frais généraux],Overhead6[[#Headers],[Frais indirectement liés à l''activité - Autres fonctions - Direction générale]])</f>
        <v>0</v>
      </c>
    </row>
    <row r="315" spans="1:8" x14ac:dyDescent="0.25">
      <c r="A315" s="738"/>
      <c r="B315" s="57" t="s">
        <v>102</v>
      </c>
      <c r="C315" s="52">
        <f>SUMIFS(CCTSAS[Total éligible],CCTSAS[Allocation fonctions],Overhead6[[#This Row],[Fonction]],CCTSAS[Frais généraux],Overhead6[[#Headers],[Frais directement liés à l''activité - Encadrement]])</f>
        <v>0</v>
      </c>
      <c r="D315" s="52">
        <f>SUMIFS(CCTSAS[Total éligible],CCTSAS[Allocation fonctions],Overhead6[[#This Row],[Fonction]],CCTSAS[Frais généraux],Overhead6[[#Headers],[Frais directement liés à l''activité - Logistique]])</f>
        <v>0</v>
      </c>
      <c r="E315" s="52">
        <f>SUMIFS(CCTSAS[Total éligible],CCTSAS[Allocation fonctions],Overhead6[[#This Row],[Fonction]],CCTSAS[Frais généraux],Overhead6[[#Headers],[Frais indirectement liés à l''activité - Prévues par la loi ]])</f>
        <v>0</v>
      </c>
      <c r="F315" s="52">
        <f>SUMIFS(CCTSAS[Total éligible],CCTSAS[Allocation fonctions],Overhead6[[#This Row],[Fonction]],CCTSAS[Frais généraux],Overhead6[[#Headers],[Frais indirectement liés à l''activité - Autres fonctions - Administration / Logistique]])</f>
        <v>0</v>
      </c>
      <c r="G315" s="52">
        <f>SUMIFS(CCTSAS[Total éligible],CCTSAS[Allocation fonctions],Overhead6[[#This Row],[Fonction]],CCTSAS[Frais généraux],Overhead6[[#Headers],[Frais indirectement liés à l''activité - Autres fonctions - Chargé(e) de direction]])</f>
        <v>0</v>
      </c>
      <c r="H315" s="53">
        <f>SUMIFS(CCTSAS[Total éligible],CCTSAS[Allocation fonctions],Overhead6[[#This Row],[Fonction]],CCTSAS[Frais généraux],Overhead6[[#Headers],[Frais indirectement liés à l''activité - Autres fonctions - Direction générale]])</f>
        <v>0</v>
      </c>
    </row>
    <row r="316" spans="1:8" x14ac:dyDescent="0.25">
      <c r="A316" s="738"/>
      <c r="B316" s="57" t="s">
        <v>103</v>
      </c>
      <c r="C316" s="52">
        <f>SUMIFS(CCTSAS[Total éligible],CCTSAS[Allocation fonctions],Overhead6[[#This Row],[Fonction]],CCTSAS[Frais généraux],Overhead6[[#Headers],[Frais directement liés à l''activité - Encadrement]])</f>
        <v>0</v>
      </c>
      <c r="D316" s="52">
        <f>SUMIFS(CCTSAS[Total éligible],CCTSAS[Allocation fonctions],Overhead6[[#This Row],[Fonction]],CCTSAS[Frais généraux],Overhead6[[#Headers],[Frais directement liés à l''activité - Logistique]])</f>
        <v>0</v>
      </c>
      <c r="E316" s="52">
        <f>SUMIFS(CCTSAS[Total éligible],CCTSAS[Allocation fonctions],Overhead6[[#This Row],[Fonction]],CCTSAS[Frais généraux],Overhead6[[#Headers],[Frais indirectement liés à l''activité - Prévues par la loi ]])</f>
        <v>0</v>
      </c>
      <c r="F316" s="52">
        <f>SUMIFS(CCTSAS[Total éligible],CCTSAS[Allocation fonctions],Overhead6[[#This Row],[Fonction]],CCTSAS[Frais généraux],Overhead6[[#Headers],[Frais indirectement liés à l''activité - Autres fonctions - Administration / Logistique]])</f>
        <v>0</v>
      </c>
      <c r="G316" s="52">
        <f>SUMIFS(CCTSAS[Total éligible],CCTSAS[Allocation fonctions],Overhead6[[#This Row],[Fonction]],CCTSAS[Frais généraux],Overhead6[[#Headers],[Frais indirectement liés à l''activité - Autres fonctions - Chargé(e) de direction]])</f>
        <v>0</v>
      </c>
      <c r="H316" s="53">
        <f>SUMIFS(CCTSAS[Total éligible],CCTSAS[Allocation fonctions],Overhead6[[#This Row],[Fonction]],CCTSAS[Frais généraux],Overhead6[[#Headers],[Frais indirectement liés à l''activité - Autres fonctions - Direction générale]])</f>
        <v>0</v>
      </c>
    </row>
    <row r="317" spans="1:8" x14ac:dyDescent="0.25">
      <c r="A317" s="738"/>
      <c r="B317" s="57" t="s">
        <v>104</v>
      </c>
      <c r="C317" s="52">
        <f>SUMIFS(CCTSAS[Total éligible],CCTSAS[Allocation fonctions],Overhead6[[#This Row],[Fonction]],CCTSAS[Frais généraux],Overhead6[[#Headers],[Frais directement liés à l''activité - Encadrement]])</f>
        <v>0</v>
      </c>
      <c r="D317" s="52">
        <f>SUMIFS(CCTSAS[Total éligible],CCTSAS[Allocation fonctions],Overhead6[[#This Row],[Fonction]],CCTSAS[Frais généraux],Overhead6[[#Headers],[Frais directement liés à l''activité - Logistique]])</f>
        <v>0</v>
      </c>
      <c r="E317" s="52">
        <f>SUMIFS(CCTSAS[Total éligible],CCTSAS[Allocation fonctions],Overhead6[[#This Row],[Fonction]],CCTSAS[Frais généraux],Overhead6[[#Headers],[Frais indirectement liés à l''activité - Prévues par la loi ]])</f>
        <v>0</v>
      </c>
      <c r="F317" s="52">
        <f>SUMIFS(CCTSAS[Total éligible],CCTSAS[Allocation fonctions],Overhead6[[#This Row],[Fonction]],CCTSAS[Frais généraux],Overhead6[[#Headers],[Frais indirectement liés à l''activité - Autres fonctions - Administration / Logistique]])</f>
        <v>0</v>
      </c>
      <c r="G317" s="52">
        <f>SUMIFS(CCTSAS[Total éligible],CCTSAS[Allocation fonctions],Overhead6[[#This Row],[Fonction]],CCTSAS[Frais généraux],Overhead6[[#Headers],[Frais indirectement liés à l''activité - Autres fonctions - Chargé(e) de direction]])</f>
        <v>0</v>
      </c>
      <c r="H317" s="53">
        <f>SUMIFS(CCTSAS[Total éligible],CCTSAS[Allocation fonctions],Overhead6[[#This Row],[Fonction]],CCTSAS[Frais généraux],Overhead6[[#Headers],[Frais indirectement liés à l''activité - Autres fonctions - Direction générale]])</f>
        <v>0</v>
      </c>
    </row>
    <row r="318" spans="1:8" x14ac:dyDescent="0.25">
      <c r="A318" s="738"/>
      <c r="B318" s="57" t="s">
        <v>105</v>
      </c>
      <c r="C318" s="52">
        <f>SUMIFS(CCTSAS[Total éligible],CCTSAS[Allocation fonctions],Overhead6[[#This Row],[Fonction]],CCTSAS[Frais généraux],Overhead6[[#Headers],[Frais directement liés à l''activité - Encadrement]])</f>
        <v>0</v>
      </c>
      <c r="D318" s="52">
        <f>SUMIFS(CCTSAS[Total éligible],CCTSAS[Allocation fonctions],Overhead6[[#This Row],[Fonction]],CCTSAS[Frais généraux],Overhead6[[#Headers],[Frais directement liés à l''activité - Logistique]])</f>
        <v>0</v>
      </c>
      <c r="E318" s="52">
        <f>SUMIFS(CCTSAS[Total éligible],CCTSAS[Allocation fonctions],Overhead6[[#This Row],[Fonction]],CCTSAS[Frais généraux],Overhead6[[#Headers],[Frais indirectement liés à l''activité - Prévues par la loi ]])</f>
        <v>0</v>
      </c>
      <c r="F318" s="52">
        <f>SUMIFS(CCTSAS[Total éligible],CCTSAS[Allocation fonctions],Overhead6[[#This Row],[Fonction]],CCTSAS[Frais généraux],Overhead6[[#Headers],[Frais indirectement liés à l''activité - Autres fonctions - Administration / Logistique]])</f>
        <v>0</v>
      </c>
      <c r="G318" s="52">
        <f>SUMIFS(CCTSAS[Total éligible],CCTSAS[Allocation fonctions],Overhead6[[#This Row],[Fonction]],CCTSAS[Frais généraux],Overhead6[[#Headers],[Frais indirectement liés à l''activité - Autres fonctions - Chargé(e) de direction]])</f>
        <v>0</v>
      </c>
      <c r="H318" s="53">
        <f>SUMIFS(CCTSAS[Total éligible],CCTSAS[Allocation fonctions],Overhead6[[#This Row],[Fonction]],CCTSAS[Frais généraux],Overhead6[[#Headers],[Frais indirectement liés à l''activité - Autres fonctions - Direction générale]])</f>
        <v>0</v>
      </c>
    </row>
    <row r="319" spans="1:8" x14ac:dyDescent="0.25">
      <c r="A319" s="738"/>
      <c r="B319" s="57" t="s">
        <v>106</v>
      </c>
      <c r="C319" s="52">
        <f>SUMIFS(CCTSAS[Total éligible],CCTSAS[Allocation fonctions],Overhead6[[#This Row],[Fonction]],CCTSAS[Frais généraux],Overhead6[[#Headers],[Frais directement liés à l''activité - Encadrement]])</f>
        <v>0</v>
      </c>
      <c r="D319" s="52">
        <f>SUMIFS(CCTSAS[Total éligible],CCTSAS[Allocation fonctions],Overhead6[[#This Row],[Fonction]],CCTSAS[Frais généraux],Overhead6[[#Headers],[Frais directement liés à l''activité - Logistique]])</f>
        <v>0</v>
      </c>
      <c r="E319" s="52">
        <f>SUMIFS(CCTSAS[Total éligible],CCTSAS[Allocation fonctions],Overhead6[[#This Row],[Fonction]],CCTSAS[Frais généraux],Overhead6[[#Headers],[Frais indirectement liés à l''activité - Prévues par la loi ]])</f>
        <v>0</v>
      </c>
      <c r="F319" s="52">
        <f>SUMIFS(CCTSAS[Total éligible],CCTSAS[Allocation fonctions],Overhead6[[#This Row],[Fonction]],CCTSAS[Frais généraux],Overhead6[[#Headers],[Frais indirectement liés à l''activité - Autres fonctions - Administration / Logistique]])</f>
        <v>0</v>
      </c>
      <c r="G319" s="52">
        <f>SUMIFS(CCTSAS[Total éligible],CCTSAS[Allocation fonctions],Overhead6[[#This Row],[Fonction]],CCTSAS[Frais généraux],Overhead6[[#Headers],[Frais indirectement liés à l''activité - Autres fonctions - Chargé(e) de direction]])</f>
        <v>0</v>
      </c>
      <c r="H319" s="53">
        <f>SUMIFS(CCTSAS[Total éligible],CCTSAS[Allocation fonctions],Overhead6[[#This Row],[Fonction]],CCTSAS[Frais généraux],Overhead6[[#Headers],[Frais indirectement liés à l''activité - Autres fonctions - Direction générale]])</f>
        <v>0</v>
      </c>
    </row>
    <row r="320" spans="1:8" x14ac:dyDescent="0.25">
      <c r="A320" s="738"/>
      <c r="B320" s="57" t="s">
        <v>107</v>
      </c>
      <c r="C320" s="52">
        <f>SUMIFS(CCTSAS[Total éligible],CCTSAS[Allocation fonctions],Overhead6[[#This Row],[Fonction]],CCTSAS[Frais généraux],Overhead6[[#Headers],[Frais directement liés à l''activité - Encadrement]])</f>
        <v>0</v>
      </c>
      <c r="D320" s="52">
        <f>SUMIFS(CCTSAS[Total éligible],CCTSAS[Allocation fonctions],Overhead6[[#This Row],[Fonction]],CCTSAS[Frais généraux],Overhead6[[#Headers],[Frais directement liés à l''activité - Logistique]])</f>
        <v>0</v>
      </c>
      <c r="E320" s="52">
        <f>SUMIFS(CCTSAS[Total éligible],CCTSAS[Allocation fonctions],Overhead6[[#This Row],[Fonction]],CCTSAS[Frais généraux],Overhead6[[#Headers],[Frais indirectement liés à l''activité - Prévues par la loi ]])</f>
        <v>0</v>
      </c>
      <c r="F320" s="52">
        <f>SUMIFS(CCTSAS[Total éligible],CCTSAS[Allocation fonctions],Overhead6[[#This Row],[Fonction]],CCTSAS[Frais généraux],Overhead6[[#Headers],[Frais indirectement liés à l''activité - Autres fonctions - Administration / Logistique]])</f>
        <v>0</v>
      </c>
      <c r="G320" s="52">
        <f>SUMIFS(CCTSAS[Total éligible],CCTSAS[Allocation fonctions],Overhead6[[#This Row],[Fonction]],CCTSAS[Frais généraux],Overhead6[[#Headers],[Frais indirectement liés à l''activité - Autres fonctions - Chargé(e) de direction]])</f>
        <v>0</v>
      </c>
      <c r="H320" s="53">
        <f>SUMIFS(CCTSAS[Total éligible],CCTSAS[Allocation fonctions],Overhead6[[#This Row],[Fonction]],CCTSAS[Frais généraux],Overhead6[[#Headers],[Frais indirectement liés à l''activité - Autres fonctions - Direction générale]])</f>
        <v>0</v>
      </c>
    </row>
    <row r="321" spans="1:8" x14ac:dyDescent="0.25">
      <c r="A321" s="738"/>
      <c r="B321" s="57" t="s">
        <v>108</v>
      </c>
      <c r="C321" s="52">
        <f>SUMIFS(CCTSAS[Total éligible],CCTSAS[Allocation fonctions],Overhead6[[#This Row],[Fonction]],CCTSAS[Frais généraux],Overhead6[[#Headers],[Frais directement liés à l''activité - Encadrement]])</f>
        <v>0</v>
      </c>
      <c r="D321" s="52">
        <f>SUMIFS(CCTSAS[Total éligible],CCTSAS[Allocation fonctions],Overhead6[[#This Row],[Fonction]],CCTSAS[Frais généraux],Overhead6[[#Headers],[Frais directement liés à l''activité - Logistique]])</f>
        <v>0</v>
      </c>
      <c r="E321" s="52">
        <f>SUMIFS(CCTSAS[Total éligible],CCTSAS[Allocation fonctions],Overhead6[[#This Row],[Fonction]],CCTSAS[Frais généraux],Overhead6[[#Headers],[Frais indirectement liés à l''activité - Prévues par la loi ]])</f>
        <v>0</v>
      </c>
      <c r="F321" s="52">
        <f>SUMIFS(CCTSAS[Total éligible],CCTSAS[Allocation fonctions],Overhead6[[#This Row],[Fonction]],CCTSAS[Frais généraux],Overhead6[[#Headers],[Frais indirectement liés à l''activité - Autres fonctions - Administration / Logistique]])</f>
        <v>0</v>
      </c>
      <c r="G321" s="52">
        <f>SUMIFS(CCTSAS[Total éligible],CCTSAS[Allocation fonctions],Overhead6[[#This Row],[Fonction]],CCTSAS[Frais généraux],Overhead6[[#Headers],[Frais indirectement liés à l''activité - Autres fonctions - Chargé(e) de direction]])</f>
        <v>0</v>
      </c>
      <c r="H321" s="53">
        <f>SUMIFS(CCTSAS[Total éligible],CCTSAS[Allocation fonctions],Overhead6[[#This Row],[Fonction]],CCTSAS[Frais généraux],Overhead6[[#Headers],[Frais indirectement liés à l''activité - Autres fonctions - Direction générale]])</f>
        <v>0</v>
      </c>
    </row>
    <row r="322" spans="1:8" x14ac:dyDescent="0.25">
      <c r="A322" s="738"/>
      <c r="B322" s="57" t="s">
        <v>109</v>
      </c>
      <c r="C322" s="52">
        <f>SUMIFS(CCTSAS[Total éligible],CCTSAS[Allocation fonctions],Overhead6[[#This Row],[Fonction]],CCTSAS[Frais généraux],Overhead6[[#Headers],[Frais directement liés à l''activité - Encadrement]])</f>
        <v>0</v>
      </c>
      <c r="D322" s="52">
        <f>SUMIFS(CCTSAS[Total éligible],CCTSAS[Allocation fonctions],Overhead6[[#This Row],[Fonction]],CCTSAS[Frais généraux],Overhead6[[#Headers],[Frais directement liés à l''activité - Logistique]])</f>
        <v>0</v>
      </c>
      <c r="E322" s="52">
        <f>SUMIFS(CCTSAS[Total éligible],CCTSAS[Allocation fonctions],Overhead6[[#This Row],[Fonction]],CCTSAS[Frais généraux],Overhead6[[#Headers],[Frais indirectement liés à l''activité - Prévues par la loi ]])</f>
        <v>0</v>
      </c>
      <c r="F322" s="52">
        <f>SUMIFS(CCTSAS[Total éligible],CCTSAS[Allocation fonctions],Overhead6[[#This Row],[Fonction]],CCTSAS[Frais généraux],Overhead6[[#Headers],[Frais indirectement liés à l''activité - Autres fonctions - Administration / Logistique]])</f>
        <v>0</v>
      </c>
      <c r="G322" s="52">
        <f>SUMIFS(CCTSAS[Total éligible],CCTSAS[Allocation fonctions],Overhead6[[#This Row],[Fonction]],CCTSAS[Frais généraux],Overhead6[[#Headers],[Frais indirectement liés à l''activité - Autres fonctions - Chargé(e) de direction]])</f>
        <v>0</v>
      </c>
      <c r="H322" s="53">
        <f>SUMIFS(CCTSAS[Total éligible],CCTSAS[Allocation fonctions],Overhead6[[#This Row],[Fonction]],CCTSAS[Frais généraux],Overhead6[[#Headers],[Frais indirectement liés à l''activité - Autres fonctions - Direction générale]])</f>
        <v>0</v>
      </c>
    </row>
    <row r="323" spans="1:8" ht="15.75" thickBot="1" x14ac:dyDescent="0.3">
      <c r="A323" s="739"/>
      <c r="B323" s="57" t="s">
        <v>610</v>
      </c>
      <c r="C323" s="52">
        <f>SUMIFS(CCTSAS[Total éligible],CCTSAS[Allocation fonctions],Overhead6[[#This Row],[Fonction]],CCTSAS[Frais généraux],Overhead6[[#Headers],[Frais directement liés à l''activité - Encadrement]])</f>
        <v>0</v>
      </c>
      <c r="D323" s="52">
        <f>SUMIFS(CCTSAS[Total éligible],CCTSAS[Allocation fonctions],Overhead6[[#This Row],[Fonction]],CCTSAS[Frais généraux],Overhead6[[#Headers],[Frais directement liés à l''activité - Logistique]])</f>
        <v>0</v>
      </c>
      <c r="E323" s="52">
        <f>SUMIFS(CCTSAS[Total éligible],CCTSAS[Allocation fonctions],Overhead6[[#This Row],[Fonction]],CCTSAS[Frais généraux],Overhead6[[#Headers],[Frais indirectement liés à l''activité - Prévues par la loi ]])</f>
        <v>0</v>
      </c>
      <c r="F323" s="52">
        <f>SUMIFS(CCTSAS[Total éligible],CCTSAS[Allocation fonctions],Overhead6[[#This Row],[Fonction]],CCTSAS[Frais généraux],Overhead6[[#Headers],[Frais indirectement liés à l''activité - Autres fonctions - Administration / Logistique]])</f>
        <v>0</v>
      </c>
      <c r="G323" s="52">
        <f>SUMIFS(CCTSAS[Total éligible],CCTSAS[Allocation fonctions],Overhead6[[#This Row],[Fonction]],CCTSAS[Frais généraux],Overhead6[[#Headers],[Frais indirectement liés à l''activité - Autres fonctions - Chargé(e) de direction]])</f>
        <v>0</v>
      </c>
      <c r="H323" s="53">
        <f>SUMIFS(CCTSAS[Total éligible],CCTSAS[Allocation fonctions],Overhead6[[#This Row],[Fonction]],CCTSAS[Frais généraux],Overhead6[[#Headers],[Frais indirectement liés à l''activité - Autres fonctions - Direction générale]])</f>
        <v>0</v>
      </c>
    </row>
    <row r="324" spans="1:8" x14ac:dyDescent="0.25">
      <c r="A324" s="737" t="s">
        <v>359</v>
      </c>
      <c r="B324" s="59" t="s">
        <v>93</v>
      </c>
      <c r="C324" s="60">
        <f>SUMIFS(SalCommune[Total éligible],SalCommune[Allocations fonctions],Overhead6[[#This Row],[Fonction]],SalCommune[Frais généraux],Overhead6[[#Headers],[Frais directement liés à l''activité - Encadrement]])</f>
        <v>0</v>
      </c>
      <c r="D324" s="60">
        <f>SUMIFS(SalCommune[Total éligible],SalCommune[Allocations fonctions],Overhead6[[#This Row],[Fonction]],SalCommune[Frais généraux],Overhead6[[#Headers],[Frais directement liés à l''activité - Logistique]])</f>
        <v>0</v>
      </c>
      <c r="E324" s="60">
        <f>SUMIFS(SalCommune[Total éligible],SalCommune[Allocations fonctions],Overhead6[[#This Row],[Fonction]],SalCommune[Frais généraux],Overhead6[[#Headers],[Frais indirectement liés à l''activité - Prévues par la loi ]])</f>
        <v>0</v>
      </c>
      <c r="F324" s="60">
        <f>SUMIFS(SalCommune[Total éligible],SalCommune[Allocations fonctions],Overhead6[[#This Row],[Fonction]],SalCommune[Frais généraux],Overhead6[[#Headers],[Frais indirectement liés à l''activité - Autres fonctions - Administration / Logistique]])</f>
        <v>0</v>
      </c>
      <c r="G324" s="60">
        <f>SUMIFS(SalCommune[Total éligible],SalCommune[Allocations fonctions],Overhead6[[#This Row],[Fonction]],SalCommune[Frais généraux],Overhead6[[#Headers],[Frais indirectement liés à l''activité - Autres fonctions - Chargé(e) de direction]])</f>
        <v>0</v>
      </c>
      <c r="H324" s="61">
        <f>SUMIFS(SalCommune[Total éligible],SalCommune[Allocations fonctions],Overhead6[[#This Row],[Fonction]],SalCommune[Frais généraux],Overhead6[[#Headers],[Frais indirectement liés à l''activité - Autres fonctions - Direction générale]])</f>
        <v>0</v>
      </c>
    </row>
    <row r="325" spans="1:8" x14ac:dyDescent="0.25">
      <c r="A325" s="738"/>
      <c r="B325" s="57" t="s">
        <v>94</v>
      </c>
      <c r="C325" s="52">
        <f>SUMIFS(SalCommune[Total éligible],SalCommune[Allocations fonctions],Overhead6[[#This Row],[Fonction]],SalCommune[Frais généraux],Overhead6[[#Headers],[Frais directement liés à l''activité - Encadrement]])</f>
        <v>0</v>
      </c>
      <c r="D325" s="52">
        <f>SUMIFS(SalCommune[Total éligible],SalCommune[Allocations fonctions],Overhead6[[#This Row],[Fonction]],SalCommune[Frais généraux],Overhead6[[#Headers],[Frais directement liés à l''activité - Logistique]])</f>
        <v>0</v>
      </c>
      <c r="E325" s="52">
        <f>SUMIFS(SalCommune[Total éligible],SalCommune[Allocations fonctions],Overhead6[[#This Row],[Fonction]],SalCommune[Frais généraux],Overhead6[[#Headers],[Frais indirectement liés à l''activité - Prévues par la loi ]])</f>
        <v>0</v>
      </c>
      <c r="F325" s="52">
        <f>SUMIFS(SalCommune[Total éligible],SalCommune[Allocations fonctions],Overhead6[[#This Row],[Fonction]],SalCommune[Frais généraux],Overhead6[[#Headers],[Frais indirectement liés à l''activité - Autres fonctions - Administration / Logistique]])</f>
        <v>0</v>
      </c>
      <c r="G325" s="52">
        <f>SUMIFS(SalCommune[Total éligible],SalCommune[Allocations fonctions],Overhead6[[#This Row],[Fonction]],SalCommune[Frais généraux],Overhead6[[#Headers],[Frais indirectement liés à l''activité - Autres fonctions - Chargé(e) de direction]])</f>
        <v>0</v>
      </c>
      <c r="H325" s="53">
        <f>SUMIFS(SalCommune[Total éligible],SalCommune[Allocations fonctions],Overhead6[[#This Row],[Fonction]],SalCommune[Frais généraux],Overhead6[[#Headers],[Frais indirectement liés à l''activité - Autres fonctions - Direction générale]])</f>
        <v>0</v>
      </c>
    </row>
    <row r="326" spans="1:8" x14ac:dyDescent="0.25">
      <c r="A326" s="738"/>
      <c r="B326" s="57" t="s">
        <v>95</v>
      </c>
      <c r="C326" s="52">
        <f>SUMIFS(SalCommune[Total éligible],SalCommune[Allocations fonctions],Overhead6[[#This Row],[Fonction]],SalCommune[Frais généraux],Overhead6[[#Headers],[Frais directement liés à l''activité - Encadrement]])</f>
        <v>0</v>
      </c>
      <c r="D326" s="52">
        <f>SUMIFS(SalCommune[Total éligible],SalCommune[Allocations fonctions],Overhead6[[#This Row],[Fonction]],SalCommune[Frais généraux],Overhead6[[#Headers],[Frais directement liés à l''activité - Logistique]])</f>
        <v>0</v>
      </c>
      <c r="E326" s="52">
        <f>SUMIFS(SalCommune[Total éligible],SalCommune[Allocations fonctions],Overhead6[[#This Row],[Fonction]],SalCommune[Frais généraux],Overhead6[[#Headers],[Frais indirectement liés à l''activité - Prévues par la loi ]])</f>
        <v>0</v>
      </c>
      <c r="F326" s="52">
        <f>SUMIFS(SalCommune[Total éligible],SalCommune[Allocations fonctions],Overhead6[[#This Row],[Fonction]],SalCommune[Frais généraux],Overhead6[[#Headers],[Frais indirectement liés à l''activité - Autres fonctions - Administration / Logistique]])</f>
        <v>0</v>
      </c>
      <c r="G326" s="52">
        <f>SUMIFS(SalCommune[Total éligible],SalCommune[Allocations fonctions],Overhead6[[#This Row],[Fonction]],SalCommune[Frais généraux],Overhead6[[#Headers],[Frais indirectement liés à l''activité - Autres fonctions - Chargé(e) de direction]])</f>
        <v>0</v>
      </c>
      <c r="H326" s="53">
        <f>SUMIFS(SalCommune[Total éligible],SalCommune[Allocations fonctions],Overhead6[[#This Row],[Fonction]],SalCommune[Frais généraux],Overhead6[[#Headers],[Frais indirectement liés à l''activité - Autres fonctions - Direction générale]])</f>
        <v>0</v>
      </c>
    </row>
    <row r="327" spans="1:8" x14ac:dyDescent="0.25">
      <c r="A327" s="738"/>
      <c r="B327" s="57" t="s">
        <v>96</v>
      </c>
      <c r="C327" s="52">
        <f>SUMIFS(SalCommune[Total éligible],SalCommune[Allocations fonctions],Overhead6[[#This Row],[Fonction]],SalCommune[Frais généraux],Overhead6[[#Headers],[Frais directement liés à l''activité - Encadrement]])</f>
        <v>0</v>
      </c>
      <c r="D327" s="52">
        <f>SUMIFS(SalCommune[Total éligible],SalCommune[Allocations fonctions],Overhead6[[#This Row],[Fonction]],SalCommune[Frais généraux],Overhead6[[#Headers],[Frais directement liés à l''activité - Logistique]])</f>
        <v>0</v>
      </c>
      <c r="E327" s="52">
        <f>SUMIFS(SalCommune[Total éligible],SalCommune[Allocations fonctions],Overhead6[[#This Row],[Fonction]],SalCommune[Frais généraux],Overhead6[[#Headers],[Frais indirectement liés à l''activité - Prévues par la loi ]])</f>
        <v>0</v>
      </c>
      <c r="F327" s="52">
        <f>SUMIFS(SalCommune[Total éligible],SalCommune[Allocations fonctions],Overhead6[[#This Row],[Fonction]],SalCommune[Frais généraux],Overhead6[[#Headers],[Frais indirectement liés à l''activité - Autres fonctions - Administration / Logistique]])</f>
        <v>0</v>
      </c>
      <c r="G327" s="52">
        <f>SUMIFS(SalCommune[Total éligible],SalCommune[Allocations fonctions],Overhead6[[#This Row],[Fonction]],SalCommune[Frais généraux],Overhead6[[#Headers],[Frais indirectement liés à l''activité - Autres fonctions - Chargé(e) de direction]])</f>
        <v>0</v>
      </c>
      <c r="H327" s="53">
        <f>SUMIFS(SalCommune[Total éligible],SalCommune[Allocations fonctions],Overhead6[[#This Row],[Fonction]],SalCommune[Frais généraux],Overhead6[[#Headers],[Frais indirectement liés à l''activité - Autres fonctions - Direction générale]])</f>
        <v>0</v>
      </c>
    </row>
    <row r="328" spans="1:8" x14ac:dyDescent="0.25">
      <c r="A328" s="738"/>
      <c r="B328" s="57" t="s">
        <v>97</v>
      </c>
      <c r="C328" s="52">
        <f>SUMIFS(SalCommune[Total éligible],SalCommune[Allocations fonctions],Overhead6[[#This Row],[Fonction]],SalCommune[Frais généraux],Overhead6[[#Headers],[Frais directement liés à l''activité - Encadrement]])</f>
        <v>0</v>
      </c>
      <c r="D328" s="52">
        <f>SUMIFS(SalCommune[Total éligible],SalCommune[Allocations fonctions],Overhead6[[#This Row],[Fonction]],SalCommune[Frais généraux],Overhead6[[#Headers],[Frais directement liés à l''activité - Logistique]])</f>
        <v>0</v>
      </c>
      <c r="E328" s="52">
        <f>SUMIFS(SalCommune[Total éligible],SalCommune[Allocations fonctions],Overhead6[[#This Row],[Fonction]],SalCommune[Frais généraux],Overhead6[[#Headers],[Frais indirectement liés à l''activité - Prévues par la loi ]])</f>
        <v>0</v>
      </c>
      <c r="F328" s="52">
        <f>SUMIFS(SalCommune[Total éligible],SalCommune[Allocations fonctions],Overhead6[[#This Row],[Fonction]],SalCommune[Frais généraux],Overhead6[[#Headers],[Frais indirectement liés à l''activité - Autres fonctions - Administration / Logistique]])</f>
        <v>0</v>
      </c>
      <c r="G328" s="52">
        <f>SUMIFS(SalCommune[Total éligible],SalCommune[Allocations fonctions],Overhead6[[#This Row],[Fonction]],SalCommune[Frais généraux],Overhead6[[#Headers],[Frais indirectement liés à l''activité - Autres fonctions - Chargé(e) de direction]])</f>
        <v>0</v>
      </c>
      <c r="H328" s="53">
        <f>SUMIFS(SalCommune[Total éligible],SalCommune[Allocations fonctions],Overhead6[[#This Row],[Fonction]],SalCommune[Frais généraux],Overhead6[[#Headers],[Frais indirectement liés à l''activité - Autres fonctions - Direction générale]])</f>
        <v>0</v>
      </c>
    </row>
    <row r="329" spans="1:8" x14ac:dyDescent="0.25">
      <c r="A329" s="738"/>
      <c r="B329" s="57" t="s">
        <v>111</v>
      </c>
      <c r="C329" s="52">
        <f>SUMIFS(SalCommune[Total éligible],SalCommune[Allocations fonctions],Overhead6[[#This Row],[Fonction]],SalCommune[Frais généraux],Overhead6[[#Headers],[Frais directement liés à l''activité - Encadrement]])</f>
        <v>0</v>
      </c>
      <c r="D329" s="52">
        <f>SUMIFS(SalCommune[Total éligible],SalCommune[Allocations fonctions],Overhead6[[#This Row],[Fonction]],SalCommune[Frais généraux],Overhead6[[#Headers],[Frais directement liés à l''activité - Logistique]])</f>
        <v>0</v>
      </c>
      <c r="E329" s="52">
        <f>SUMIFS(SalCommune[Total éligible],SalCommune[Allocations fonctions],Overhead6[[#This Row],[Fonction]],SalCommune[Frais généraux],Overhead6[[#Headers],[Frais indirectement liés à l''activité - Prévues par la loi ]])</f>
        <v>0</v>
      </c>
      <c r="F329" s="52">
        <f>SUMIFS(SalCommune[Total éligible],SalCommune[Allocations fonctions],Overhead6[[#This Row],[Fonction]],SalCommune[Frais généraux],Overhead6[[#Headers],[Frais indirectement liés à l''activité - Autres fonctions - Administration / Logistique]])</f>
        <v>0</v>
      </c>
      <c r="G329" s="52">
        <f>SUMIFS(SalCommune[Total éligible],SalCommune[Allocations fonctions],Overhead6[[#This Row],[Fonction]],SalCommune[Frais généraux],Overhead6[[#Headers],[Frais indirectement liés à l''activité - Autres fonctions - Chargé(e) de direction]])</f>
        <v>0</v>
      </c>
      <c r="H329" s="53">
        <f>SUMIFS(SalCommune[Total éligible],SalCommune[Allocations fonctions],Overhead6[[#This Row],[Fonction]],SalCommune[Frais généraux],Overhead6[[#Headers],[Frais indirectement liés à l''activité - Autres fonctions - Direction générale]])</f>
        <v>0</v>
      </c>
    </row>
    <row r="330" spans="1:8" x14ac:dyDescent="0.25">
      <c r="A330" s="738"/>
      <c r="B330" s="57" t="s">
        <v>98</v>
      </c>
      <c r="C330" s="52">
        <f>SUMIFS(SalCommune[Total éligible],SalCommune[Allocations fonctions],Overhead6[[#This Row],[Fonction]],SalCommune[Frais généraux],Overhead6[[#Headers],[Frais directement liés à l''activité - Encadrement]])</f>
        <v>0</v>
      </c>
      <c r="D330" s="52">
        <f>SUMIFS(SalCommune[Total éligible],SalCommune[Allocations fonctions],Overhead6[[#This Row],[Fonction]],SalCommune[Frais généraux],Overhead6[[#Headers],[Frais directement liés à l''activité - Logistique]])</f>
        <v>0</v>
      </c>
      <c r="E330" s="52">
        <f>SUMIFS(SalCommune[Total éligible],SalCommune[Allocations fonctions],Overhead6[[#This Row],[Fonction]],SalCommune[Frais généraux],Overhead6[[#Headers],[Frais indirectement liés à l''activité - Prévues par la loi ]])</f>
        <v>0</v>
      </c>
      <c r="F330" s="52">
        <f>SUMIFS(SalCommune[Total éligible],SalCommune[Allocations fonctions],Overhead6[[#This Row],[Fonction]],SalCommune[Frais généraux],Overhead6[[#Headers],[Frais indirectement liés à l''activité - Autres fonctions - Administration / Logistique]])</f>
        <v>0</v>
      </c>
      <c r="G330" s="52">
        <f>SUMIFS(SalCommune[Total éligible],SalCommune[Allocations fonctions],Overhead6[[#This Row],[Fonction]],SalCommune[Frais généraux],Overhead6[[#Headers],[Frais indirectement liés à l''activité - Autres fonctions - Chargé(e) de direction]])</f>
        <v>0</v>
      </c>
      <c r="H330" s="53">
        <f>SUMIFS(SalCommune[Total éligible],SalCommune[Allocations fonctions],Overhead6[[#This Row],[Fonction]],SalCommune[Frais généraux],Overhead6[[#Headers],[Frais indirectement liés à l''activité - Autres fonctions - Direction générale]])</f>
        <v>0</v>
      </c>
    </row>
    <row r="331" spans="1:8" x14ac:dyDescent="0.25">
      <c r="A331" s="738"/>
      <c r="B331" s="57" t="s">
        <v>99</v>
      </c>
      <c r="C331" s="52">
        <f>SUMIFS(SalCommune[Total éligible],SalCommune[Allocations fonctions],Overhead6[[#This Row],[Fonction]],SalCommune[Frais généraux],Overhead6[[#Headers],[Frais directement liés à l''activité - Encadrement]])</f>
        <v>0</v>
      </c>
      <c r="D331" s="52">
        <f>SUMIFS(SalCommune[Total éligible],SalCommune[Allocations fonctions],Overhead6[[#This Row],[Fonction]],SalCommune[Frais généraux],Overhead6[[#Headers],[Frais directement liés à l''activité - Logistique]])</f>
        <v>0</v>
      </c>
      <c r="E331" s="52">
        <f>SUMIFS(SalCommune[Total éligible],SalCommune[Allocations fonctions],Overhead6[[#This Row],[Fonction]],SalCommune[Frais généraux],Overhead6[[#Headers],[Frais indirectement liés à l''activité - Prévues par la loi ]])</f>
        <v>0</v>
      </c>
      <c r="F331" s="52">
        <f>SUMIFS(SalCommune[Total éligible],SalCommune[Allocations fonctions],Overhead6[[#This Row],[Fonction]],SalCommune[Frais généraux],Overhead6[[#Headers],[Frais indirectement liés à l''activité - Autres fonctions - Administration / Logistique]])</f>
        <v>0</v>
      </c>
      <c r="G331" s="52">
        <f>SUMIFS(SalCommune[Total éligible],SalCommune[Allocations fonctions],Overhead6[[#This Row],[Fonction]],SalCommune[Frais généraux],Overhead6[[#Headers],[Frais indirectement liés à l''activité - Autres fonctions - Chargé(e) de direction]])</f>
        <v>0</v>
      </c>
      <c r="H331" s="53">
        <f>SUMIFS(SalCommune[Total éligible],SalCommune[Allocations fonctions],Overhead6[[#This Row],[Fonction]],SalCommune[Frais généraux],Overhead6[[#Headers],[Frais indirectement liés à l''activité - Autres fonctions - Direction générale]])</f>
        <v>0</v>
      </c>
    </row>
    <row r="332" spans="1:8" x14ac:dyDescent="0.25">
      <c r="A332" s="738"/>
      <c r="B332" s="57" t="s">
        <v>100</v>
      </c>
      <c r="C332" s="52">
        <f>SUMIFS(SalCommune[Total éligible],SalCommune[Allocations fonctions],Overhead6[[#This Row],[Fonction]],SalCommune[Frais généraux],Overhead6[[#Headers],[Frais directement liés à l''activité - Encadrement]])</f>
        <v>0</v>
      </c>
      <c r="D332" s="52">
        <f>SUMIFS(SalCommune[Total éligible],SalCommune[Allocations fonctions],Overhead6[[#This Row],[Fonction]],SalCommune[Frais généraux],Overhead6[[#Headers],[Frais directement liés à l''activité - Logistique]])</f>
        <v>0</v>
      </c>
      <c r="E332" s="52">
        <f>SUMIFS(SalCommune[Total éligible],SalCommune[Allocations fonctions],Overhead6[[#This Row],[Fonction]],SalCommune[Frais généraux],Overhead6[[#Headers],[Frais indirectement liés à l''activité - Prévues par la loi ]])</f>
        <v>0</v>
      </c>
      <c r="F332" s="52">
        <f>SUMIFS(SalCommune[Total éligible],SalCommune[Allocations fonctions],Overhead6[[#This Row],[Fonction]],SalCommune[Frais généraux],Overhead6[[#Headers],[Frais indirectement liés à l''activité - Autres fonctions - Administration / Logistique]])</f>
        <v>0</v>
      </c>
      <c r="G332" s="52">
        <f>SUMIFS(SalCommune[Total éligible],SalCommune[Allocations fonctions],Overhead6[[#This Row],[Fonction]],SalCommune[Frais généraux],Overhead6[[#Headers],[Frais indirectement liés à l''activité - Autres fonctions - Chargé(e) de direction]])</f>
        <v>0</v>
      </c>
      <c r="H332" s="53">
        <f>SUMIFS(SalCommune[Total éligible],SalCommune[Allocations fonctions],Overhead6[[#This Row],[Fonction]],SalCommune[Frais généraux],Overhead6[[#Headers],[Frais indirectement liés à l''activité - Autres fonctions - Direction générale]])</f>
        <v>0</v>
      </c>
    </row>
    <row r="333" spans="1:8" x14ac:dyDescent="0.25">
      <c r="A333" s="738"/>
      <c r="B333" s="57" t="s">
        <v>101</v>
      </c>
      <c r="C333" s="52">
        <f>SUMIFS(SalCommune[Total éligible],SalCommune[Allocations fonctions],Overhead6[[#This Row],[Fonction]],SalCommune[Frais généraux],Overhead6[[#Headers],[Frais directement liés à l''activité - Encadrement]])</f>
        <v>0</v>
      </c>
      <c r="D333" s="52">
        <f>SUMIFS(SalCommune[Total éligible],SalCommune[Allocations fonctions],Overhead6[[#This Row],[Fonction]],SalCommune[Frais généraux],Overhead6[[#Headers],[Frais directement liés à l''activité - Logistique]])</f>
        <v>0</v>
      </c>
      <c r="E333" s="52">
        <f>SUMIFS(SalCommune[Total éligible],SalCommune[Allocations fonctions],Overhead6[[#This Row],[Fonction]],SalCommune[Frais généraux],Overhead6[[#Headers],[Frais indirectement liés à l''activité - Prévues par la loi ]])</f>
        <v>0</v>
      </c>
      <c r="F333" s="52">
        <f>SUMIFS(SalCommune[Total éligible],SalCommune[Allocations fonctions],Overhead6[[#This Row],[Fonction]],SalCommune[Frais généraux],Overhead6[[#Headers],[Frais indirectement liés à l''activité - Autres fonctions - Administration / Logistique]])</f>
        <v>0</v>
      </c>
      <c r="G333" s="52">
        <f>SUMIFS(SalCommune[Total éligible],SalCommune[Allocations fonctions],Overhead6[[#This Row],[Fonction]],SalCommune[Frais généraux],Overhead6[[#Headers],[Frais indirectement liés à l''activité - Autres fonctions - Chargé(e) de direction]])</f>
        <v>0</v>
      </c>
      <c r="H333" s="53">
        <f>SUMIFS(SalCommune[Total éligible],SalCommune[Allocations fonctions],Overhead6[[#This Row],[Fonction]],SalCommune[Frais généraux],Overhead6[[#Headers],[Frais indirectement liés à l''activité - Autres fonctions - Direction générale]])</f>
        <v>0</v>
      </c>
    </row>
    <row r="334" spans="1:8" x14ac:dyDescent="0.25">
      <c r="A334" s="738"/>
      <c r="B334" s="57" t="s">
        <v>102</v>
      </c>
      <c r="C334" s="52">
        <f>SUMIFS(SalCommune[Total éligible],SalCommune[Allocations fonctions],Overhead6[[#This Row],[Fonction]],SalCommune[Frais généraux],Overhead6[[#Headers],[Frais directement liés à l''activité - Encadrement]])</f>
        <v>0</v>
      </c>
      <c r="D334" s="52">
        <f>SUMIFS(SalCommune[Total éligible],SalCommune[Allocations fonctions],Overhead6[[#This Row],[Fonction]],SalCommune[Frais généraux],Overhead6[[#Headers],[Frais directement liés à l''activité - Logistique]])</f>
        <v>0</v>
      </c>
      <c r="E334" s="52">
        <f>SUMIFS(SalCommune[Total éligible],SalCommune[Allocations fonctions],Overhead6[[#This Row],[Fonction]],SalCommune[Frais généraux],Overhead6[[#Headers],[Frais indirectement liés à l''activité - Prévues par la loi ]])</f>
        <v>0</v>
      </c>
      <c r="F334" s="52">
        <f>SUMIFS(SalCommune[Total éligible],SalCommune[Allocations fonctions],Overhead6[[#This Row],[Fonction]],SalCommune[Frais généraux],Overhead6[[#Headers],[Frais indirectement liés à l''activité - Autres fonctions - Administration / Logistique]])</f>
        <v>0</v>
      </c>
      <c r="G334" s="52">
        <f>SUMIFS(SalCommune[Total éligible],SalCommune[Allocations fonctions],Overhead6[[#This Row],[Fonction]],SalCommune[Frais généraux],Overhead6[[#Headers],[Frais indirectement liés à l''activité - Autres fonctions - Chargé(e) de direction]])</f>
        <v>0</v>
      </c>
      <c r="H334" s="53">
        <f>SUMIFS(SalCommune[Total éligible],SalCommune[Allocations fonctions],Overhead6[[#This Row],[Fonction]],SalCommune[Frais généraux],Overhead6[[#Headers],[Frais indirectement liés à l''activité - Autres fonctions - Direction générale]])</f>
        <v>0</v>
      </c>
    </row>
    <row r="335" spans="1:8" x14ac:dyDescent="0.25">
      <c r="A335" s="738"/>
      <c r="B335" s="57" t="s">
        <v>103</v>
      </c>
      <c r="C335" s="52">
        <f>SUMIFS(SalCommune[Total éligible],SalCommune[Allocations fonctions],Overhead6[[#This Row],[Fonction]],SalCommune[Frais généraux],Overhead6[[#Headers],[Frais directement liés à l''activité - Encadrement]])</f>
        <v>0</v>
      </c>
      <c r="D335" s="52">
        <f>SUMIFS(SalCommune[Total éligible],SalCommune[Allocations fonctions],Overhead6[[#This Row],[Fonction]],SalCommune[Frais généraux],Overhead6[[#Headers],[Frais directement liés à l''activité - Logistique]])</f>
        <v>0</v>
      </c>
      <c r="E335" s="52">
        <f>SUMIFS(SalCommune[Total éligible],SalCommune[Allocations fonctions],Overhead6[[#This Row],[Fonction]],SalCommune[Frais généraux],Overhead6[[#Headers],[Frais indirectement liés à l''activité - Prévues par la loi ]])</f>
        <v>0</v>
      </c>
      <c r="F335" s="52">
        <f>SUMIFS(SalCommune[Total éligible],SalCommune[Allocations fonctions],Overhead6[[#This Row],[Fonction]],SalCommune[Frais généraux],Overhead6[[#Headers],[Frais indirectement liés à l''activité - Autres fonctions - Administration / Logistique]])</f>
        <v>0</v>
      </c>
      <c r="G335" s="52">
        <f>SUMIFS(SalCommune[Total éligible],SalCommune[Allocations fonctions],Overhead6[[#This Row],[Fonction]],SalCommune[Frais généraux],Overhead6[[#Headers],[Frais indirectement liés à l''activité - Autres fonctions - Chargé(e) de direction]])</f>
        <v>0</v>
      </c>
      <c r="H335" s="53">
        <f>SUMIFS(SalCommune[Total éligible],SalCommune[Allocations fonctions],Overhead6[[#This Row],[Fonction]],SalCommune[Frais généraux],Overhead6[[#Headers],[Frais indirectement liés à l''activité - Autres fonctions - Direction générale]])</f>
        <v>0</v>
      </c>
    </row>
    <row r="336" spans="1:8" x14ac:dyDescent="0.25">
      <c r="A336" s="738"/>
      <c r="B336" s="57" t="s">
        <v>104</v>
      </c>
      <c r="C336" s="52">
        <f>SUMIFS(SalCommune[Total éligible],SalCommune[Allocations fonctions],Overhead6[[#This Row],[Fonction]],SalCommune[Frais généraux],Overhead6[[#Headers],[Frais directement liés à l''activité - Encadrement]])</f>
        <v>0</v>
      </c>
      <c r="D336" s="52">
        <f>SUMIFS(SalCommune[Total éligible],SalCommune[Allocations fonctions],Overhead6[[#This Row],[Fonction]],SalCommune[Frais généraux],Overhead6[[#Headers],[Frais directement liés à l''activité - Logistique]])</f>
        <v>0</v>
      </c>
      <c r="E336" s="52">
        <f>SUMIFS(SalCommune[Total éligible],SalCommune[Allocations fonctions],Overhead6[[#This Row],[Fonction]],SalCommune[Frais généraux],Overhead6[[#Headers],[Frais indirectement liés à l''activité - Prévues par la loi ]])</f>
        <v>0</v>
      </c>
      <c r="F336" s="52">
        <f>SUMIFS(SalCommune[Total éligible],SalCommune[Allocations fonctions],Overhead6[[#This Row],[Fonction]],SalCommune[Frais généraux],Overhead6[[#Headers],[Frais indirectement liés à l''activité - Autres fonctions - Administration / Logistique]])</f>
        <v>0</v>
      </c>
      <c r="G336" s="52">
        <f>SUMIFS(SalCommune[Total éligible],SalCommune[Allocations fonctions],Overhead6[[#This Row],[Fonction]],SalCommune[Frais généraux],Overhead6[[#Headers],[Frais indirectement liés à l''activité - Autres fonctions - Chargé(e) de direction]])</f>
        <v>0</v>
      </c>
      <c r="H336" s="53">
        <f>SUMIFS(SalCommune[Total éligible],SalCommune[Allocations fonctions],Overhead6[[#This Row],[Fonction]],SalCommune[Frais généraux],Overhead6[[#Headers],[Frais indirectement liés à l''activité - Autres fonctions - Direction générale]])</f>
        <v>0</v>
      </c>
    </row>
    <row r="337" spans="1:8" x14ac:dyDescent="0.25">
      <c r="A337" s="738"/>
      <c r="B337" s="57" t="s">
        <v>105</v>
      </c>
      <c r="C337" s="52">
        <f>SUMIFS(SalCommune[Total éligible],SalCommune[Allocations fonctions],Overhead6[[#This Row],[Fonction]],SalCommune[Frais généraux],Overhead6[[#Headers],[Frais directement liés à l''activité - Encadrement]])</f>
        <v>0</v>
      </c>
      <c r="D337" s="52">
        <f>SUMIFS(SalCommune[Total éligible],SalCommune[Allocations fonctions],Overhead6[[#This Row],[Fonction]],SalCommune[Frais généraux],Overhead6[[#Headers],[Frais directement liés à l''activité - Logistique]])</f>
        <v>0</v>
      </c>
      <c r="E337" s="52">
        <f>SUMIFS(SalCommune[Total éligible],SalCommune[Allocations fonctions],Overhead6[[#This Row],[Fonction]],SalCommune[Frais généraux],Overhead6[[#Headers],[Frais indirectement liés à l''activité - Prévues par la loi ]])</f>
        <v>0</v>
      </c>
      <c r="F337" s="52">
        <f>SUMIFS(SalCommune[Total éligible],SalCommune[Allocations fonctions],Overhead6[[#This Row],[Fonction]],SalCommune[Frais généraux],Overhead6[[#Headers],[Frais indirectement liés à l''activité - Autres fonctions - Administration / Logistique]])</f>
        <v>0</v>
      </c>
      <c r="G337" s="52">
        <f>SUMIFS(SalCommune[Total éligible],SalCommune[Allocations fonctions],Overhead6[[#This Row],[Fonction]],SalCommune[Frais généraux],Overhead6[[#Headers],[Frais indirectement liés à l''activité - Autres fonctions - Chargé(e) de direction]])</f>
        <v>0</v>
      </c>
      <c r="H337" s="53">
        <f>SUMIFS(SalCommune[Total éligible],SalCommune[Allocations fonctions],Overhead6[[#This Row],[Fonction]],SalCommune[Frais généraux],Overhead6[[#Headers],[Frais indirectement liés à l''activité - Autres fonctions - Direction générale]])</f>
        <v>0</v>
      </c>
    </row>
    <row r="338" spans="1:8" x14ac:dyDescent="0.25">
      <c r="A338" s="738"/>
      <c r="B338" s="57" t="s">
        <v>106</v>
      </c>
      <c r="C338" s="52">
        <f>SUMIFS(SalCommune[Total éligible],SalCommune[Allocations fonctions],Overhead6[[#This Row],[Fonction]],SalCommune[Frais généraux],Overhead6[[#Headers],[Frais directement liés à l''activité - Encadrement]])</f>
        <v>0</v>
      </c>
      <c r="D338" s="52">
        <f>SUMIFS(SalCommune[Total éligible],SalCommune[Allocations fonctions],Overhead6[[#This Row],[Fonction]],SalCommune[Frais généraux],Overhead6[[#Headers],[Frais directement liés à l''activité - Logistique]])</f>
        <v>0</v>
      </c>
      <c r="E338" s="52">
        <f>SUMIFS(SalCommune[Total éligible],SalCommune[Allocations fonctions],Overhead6[[#This Row],[Fonction]],SalCommune[Frais généraux],Overhead6[[#Headers],[Frais indirectement liés à l''activité - Prévues par la loi ]])</f>
        <v>0</v>
      </c>
      <c r="F338" s="52">
        <f>SUMIFS(SalCommune[Total éligible],SalCommune[Allocations fonctions],Overhead6[[#This Row],[Fonction]],SalCommune[Frais généraux],Overhead6[[#Headers],[Frais indirectement liés à l''activité - Autres fonctions - Administration / Logistique]])</f>
        <v>0</v>
      </c>
      <c r="G338" s="52">
        <f>SUMIFS(SalCommune[Total éligible],SalCommune[Allocations fonctions],Overhead6[[#This Row],[Fonction]],SalCommune[Frais généraux],Overhead6[[#Headers],[Frais indirectement liés à l''activité - Autres fonctions - Chargé(e) de direction]])</f>
        <v>0</v>
      </c>
      <c r="H338" s="53">
        <f>SUMIFS(SalCommune[Total éligible],SalCommune[Allocations fonctions],Overhead6[[#This Row],[Fonction]],SalCommune[Frais généraux],Overhead6[[#Headers],[Frais indirectement liés à l''activité - Autres fonctions - Direction générale]])</f>
        <v>0</v>
      </c>
    </row>
    <row r="339" spans="1:8" x14ac:dyDescent="0.25">
      <c r="A339" s="738"/>
      <c r="B339" s="57" t="s">
        <v>107</v>
      </c>
      <c r="C339" s="52">
        <f>SUMIFS(SalCommune[Total éligible],SalCommune[Allocations fonctions],Overhead6[[#This Row],[Fonction]],SalCommune[Frais généraux],Overhead6[[#Headers],[Frais directement liés à l''activité - Encadrement]])</f>
        <v>0</v>
      </c>
      <c r="D339" s="52">
        <f>SUMIFS(SalCommune[Total éligible],SalCommune[Allocations fonctions],Overhead6[[#This Row],[Fonction]],SalCommune[Frais généraux],Overhead6[[#Headers],[Frais directement liés à l''activité - Logistique]])</f>
        <v>0</v>
      </c>
      <c r="E339" s="52">
        <f>SUMIFS(SalCommune[Total éligible],SalCommune[Allocations fonctions],Overhead6[[#This Row],[Fonction]],SalCommune[Frais généraux],Overhead6[[#Headers],[Frais indirectement liés à l''activité - Prévues par la loi ]])</f>
        <v>0</v>
      </c>
      <c r="F339" s="52">
        <f>SUMIFS(SalCommune[Total éligible],SalCommune[Allocations fonctions],Overhead6[[#This Row],[Fonction]],SalCommune[Frais généraux],Overhead6[[#Headers],[Frais indirectement liés à l''activité - Autres fonctions - Administration / Logistique]])</f>
        <v>0</v>
      </c>
      <c r="G339" s="52">
        <f>SUMIFS(SalCommune[Total éligible],SalCommune[Allocations fonctions],Overhead6[[#This Row],[Fonction]],SalCommune[Frais généraux],Overhead6[[#Headers],[Frais indirectement liés à l''activité - Autres fonctions - Chargé(e) de direction]])</f>
        <v>0</v>
      </c>
      <c r="H339" s="53">
        <f>SUMIFS(SalCommune[Total éligible],SalCommune[Allocations fonctions],Overhead6[[#This Row],[Fonction]],SalCommune[Frais généraux],Overhead6[[#Headers],[Frais indirectement liés à l''activité - Autres fonctions - Direction générale]])</f>
        <v>0</v>
      </c>
    </row>
    <row r="340" spans="1:8" x14ac:dyDescent="0.25">
      <c r="A340" s="738"/>
      <c r="B340" s="57" t="s">
        <v>108</v>
      </c>
      <c r="C340" s="52">
        <f>SUMIFS(SalCommune[Total éligible],SalCommune[Allocations fonctions],Overhead6[[#This Row],[Fonction]],SalCommune[Frais généraux],Overhead6[[#Headers],[Frais directement liés à l''activité - Encadrement]])</f>
        <v>0</v>
      </c>
      <c r="D340" s="52">
        <f>SUMIFS(SalCommune[Total éligible],SalCommune[Allocations fonctions],Overhead6[[#This Row],[Fonction]],SalCommune[Frais généraux],Overhead6[[#Headers],[Frais directement liés à l''activité - Logistique]])</f>
        <v>0</v>
      </c>
      <c r="E340" s="52">
        <f>SUMIFS(SalCommune[Total éligible],SalCommune[Allocations fonctions],Overhead6[[#This Row],[Fonction]],SalCommune[Frais généraux],Overhead6[[#Headers],[Frais indirectement liés à l''activité - Prévues par la loi ]])</f>
        <v>0</v>
      </c>
      <c r="F340" s="52">
        <f>SUMIFS(SalCommune[Total éligible],SalCommune[Allocations fonctions],Overhead6[[#This Row],[Fonction]],SalCommune[Frais généraux],Overhead6[[#Headers],[Frais indirectement liés à l''activité - Autres fonctions - Administration / Logistique]])</f>
        <v>0</v>
      </c>
      <c r="G340" s="52">
        <f>SUMIFS(SalCommune[Total éligible],SalCommune[Allocations fonctions],Overhead6[[#This Row],[Fonction]],SalCommune[Frais généraux],Overhead6[[#Headers],[Frais indirectement liés à l''activité - Autres fonctions - Chargé(e) de direction]])</f>
        <v>0</v>
      </c>
      <c r="H340" s="53">
        <f>SUMIFS(SalCommune[Total éligible],SalCommune[Allocations fonctions],Overhead6[[#This Row],[Fonction]],SalCommune[Frais généraux],Overhead6[[#Headers],[Frais indirectement liés à l''activité - Autres fonctions - Direction générale]])</f>
        <v>0</v>
      </c>
    </row>
    <row r="341" spans="1:8" x14ac:dyDescent="0.25">
      <c r="A341" s="738"/>
      <c r="B341" s="57" t="s">
        <v>109</v>
      </c>
      <c r="C341" s="52">
        <f>SUMIFS(SalCommune[Total éligible],SalCommune[Allocations fonctions],Overhead6[[#This Row],[Fonction]],SalCommune[Frais généraux],Overhead6[[#Headers],[Frais directement liés à l''activité - Encadrement]])</f>
        <v>0</v>
      </c>
      <c r="D341" s="52">
        <f>SUMIFS(SalCommune[Total éligible],SalCommune[Allocations fonctions],Overhead6[[#This Row],[Fonction]],SalCommune[Frais généraux],Overhead6[[#Headers],[Frais directement liés à l''activité - Logistique]])</f>
        <v>0</v>
      </c>
      <c r="E341" s="52">
        <f>SUMIFS(SalCommune[Total éligible],SalCommune[Allocations fonctions],Overhead6[[#This Row],[Fonction]],SalCommune[Frais généraux],Overhead6[[#Headers],[Frais indirectement liés à l''activité - Prévues par la loi ]])</f>
        <v>0</v>
      </c>
      <c r="F341" s="52">
        <f>SUMIFS(SalCommune[Total éligible],SalCommune[Allocations fonctions],Overhead6[[#This Row],[Fonction]],SalCommune[Frais généraux],Overhead6[[#Headers],[Frais indirectement liés à l''activité - Autres fonctions - Administration / Logistique]])</f>
        <v>0</v>
      </c>
      <c r="G341" s="52">
        <f>SUMIFS(SalCommune[Total éligible],SalCommune[Allocations fonctions],Overhead6[[#This Row],[Fonction]],SalCommune[Frais généraux],Overhead6[[#Headers],[Frais indirectement liés à l''activité - Autres fonctions - Chargé(e) de direction]])</f>
        <v>0</v>
      </c>
      <c r="H341" s="53">
        <f>SUMIFS(SalCommune[Total éligible],SalCommune[Allocations fonctions],Overhead6[[#This Row],[Fonction]],SalCommune[Frais généraux],Overhead6[[#Headers],[Frais indirectement liés à l''activité - Autres fonctions - Direction générale]])</f>
        <v>0</v>
      </c>
    </row>
    <row r="342" spans="1:8" ht="15.75" thickBot="1" x14ac:dyDescent="0.3">
      <c r="A342" s="739"/>
      <c r="B342" s="57" t="s">
        <v>610</v>
      </c>
      <c r="C342" s="52">
        <f>SUMIFS(SalCommune[Total éligible],SalCommune[Allocations fonctions],Overhead6[[#This Row],[Fonction]],SalCommune[Frais généraux],Overhead6[[#Headers],[Frais directement liés à l''activité - Encadrement]])</f>
        <v>0</v>
      </c>
      <c r="D342" s="52">
        <f>SUMIFS(SalCommune[Total éligible],SalCommune[Allocations fonctions],Overhead6[[#This Row],[Fonction]],SalCommune[Frais généraux],Overhead6[[#Headers],[Frais directement liés à l''activité - Logistique]])</f>
        <v>0</v>
      </c>
      <c r="E342" s="52">
        <f>SUMIFS(SalCommune[Total éligible],SalCommune[Allocations fonctions],Overhead6[[#This Row],[Fonction]],SalCommune[Frais généraux],Overhead6[[#Headers],[Frais indirectement liés à l''activité - Prévues par la loi ]])</f>
        <v>0</v>
      </c>
      <c r="F342" s="52">
        <f>SUMIFS(SalCommune[Total éligible],SalCommune[Allocations fonctions],Overhead6[[#This Row],[Fonction]],SalCommune[Frais généraux],Overhead6[[#Headers],[Frais indirectement liés à l''activité - Autres fonctions - Administration / Logistique]])</f>
        <v>0</v>
      </c>
      <c r="G342" s="52">
        <f>SUMIFS(SalCommune[Total éligible],SalCommune[Allocations fonctions],Overhead6[[#This Row],[Fonction]],SalCommune[Frais généraux],Overhead6[[#Headers],[Frais indirectement liés à l''activité - Autres fonctions - Chargé(e) de direction]])</f>
        <v>0</v>
      </c>
      <c r="H342" s="53">
        <f>SUMIFS(SalCommune[Total éligible],SalCommune[Allocations fonctions],Overhead6[[#This Row],[Fonction]],SalCommune[Frais généraux],Overhead6[[#Headers],[Frais indirectement liés à l''activité - Autres fonctions - Direction générale]])</f>
        <v>0</v>
      </c>
    </row>
    <row r="343" spans="1:8" x14ac:dyDescent="0.25">
      <c r="A343" s="737" t="s">
        <v>395</v>
      </c>
      <c r="B343" s="59" t="s">
        <v>397</v>
      </c>
      <c r="C343" s="60">
        <f>SUMIFS(Recettes[Montant],Recettes[Allocation],Overhead6[[#This Row],[Fonction]],Recettes[Frais généraux],Overhead6[[#Headers],[Frais directement liés à l''activité - Encadrement]])</f>
        <v>0</v>
      </c>
      <c r="D343" s="60">
        <f>SUMIFS(Recettes[Montant],Recettes[Allocation],Overhead6[[#This Row],[Fonction]],Recettes[Frais généraux],Overhead6[[#Headers],[Frais directement liés à l''activité - Logistique]])</f>
        <v>0</v>
      </c>
      <c r="E343" s="60">
        <f>SUMIFS(Recettes[Montant],Recettes[Allocation],Overhead6[[#This Row],[Fonction]],Recettes[Frais généraux],Overhead6[[#Headers],[Frais indirectement liés à l''activité - Prévues par la loi ]])</f>
        <v>0</v>
      </c>
      <c r="F343" s="60">
        <f>SUMIFS(Recettes[Montant],Recettes[Allocation],Overhead6[[#This Row],[Fonction]],Recettes[Frais généraux],Overhead6[[#Headers],[Frais indirectement liés à l''activité - Autres fonctions - Administration / Logistique]])</f>
        <v>0</v>
      </c>
      <c r="G343" s="60">
        <f>SUMIFS(Recettes[Montant],Recettes[Allocation],Overhead6[[#This Row],[Fonction]],Recettes[Frais généraux],Overhead6[[#Headers],[Frais indirectement liés à l''activité - Autres fonctions - Chargé(e) de direction]])</f>
        <v>0</v>
      </c>
      <c r="H343" s="61">
        <f>SUMIFS(Recettes[Montant],Recettes[Allocation],Overhead6[[#This Row],[Fonction]],Recettes[Frais généraux],Overhead6[[#Headers],[Frais indirectement liés à l''activité - Autres fonctions - Direction générale]])</f>
        <v>0</v>
      </c>
    </row>
    <row r="344" spans="1:8" x14ac:dyDescent="0.25">
      <c r="A344" s="738"/>
      <c r="B344" s="57" t="s">
        <v>398</v>
      </c>
      <c r="C344" s="52">
        <f>SUMIFS(Recettes[Montant],Recettes[Allocation],Overhead6[[#This Row],[Fonction]],Recettes[Frais généraux],Overhead6[[#Headers],[Frais directement liés à l''activité - Encadrement]])</f>
        <v>0</v>
      </c>
      <c r="D344" s="52">
        <f>SUMIFS(Recettes[Montant],Recettes[Allocation],Overhead6[[#This Row],[Fonction]],Recettes[Frais généraux],Overhead6[[#Headers],[Frais directement liés à l''activité - Logistique]])</f>
        <v>0</v>
      </c>
      <c r="E344" s="52">
        <f>SUMIFS(Recettes[Montant],Recettes[Allocation],Overhead6[[#This Row],[Fonction]],Recettes[Frais généraux],Overhead6[[#Headers],[Frais indirectement liés à l''activité - Prévues par la loi ]])</f>
        <v>0</v>
      </c>
      <c r="F344" s="52">
        <f>SUMIFS(Recettes[Montant],Recettes[Allocation],Overhead6[[#This Row],[Fonction]],Recettes[Frais généraux],Overhead6[[#Headers],[Frais indirectement liés à l''activité - Autres fonctions - Administration / Logistique]])</f>
        <v>0</v>
      </c>
      <c r="G344" s="52">
        <f>SUMIFS(Recettes[Montant],Recettes[Allocation],Overhead6[[#This Row],[Fonction]],Recettes[Frais généraux],Overhead6[[#Headers],[Frais indirectement liés à l''activité - Autres fonctions - Chargé(e) de direction]])</f>
        <v>0</v>
      </c>
      <c r="H344" s="53">
        <f>SUMIFS(Recettes[Montant],Recettes[Allocation],Overhead6[[#This Row],[Fonction]],Recettes[Frais généraux],Overhead6[[#Headers],[Frais indirectement liés à l''activité - Autres fonctions - Direction générale]])</f>
        <v>0</v>
      </c>
    </row>
    <row r="345" spans="1:8" x14ac:dyDescent="0.25">
      <c r="A345" s="738"/>
      <c r="B345" s="57" t="s">
        <v>399</v>
      </c>
      <c r="C345" s="52">
        <f>SUMIFS(Recettes[Montant],Recettes[Allocation],Overhead6[[#This Row],[Fonction]],Recettes[Frais généraux],Overhead6[[#Headers],[Frais directement liés à l''activité - Encadrement]])</f>
        <v>0</v>
      </c>
      <c r="D345" s="52">
        <f>SUMIFS(Recettes[Montant],Recettes[Allocation],Overhead6[[#This Row],[Fonction]],Recettes[Frais généraux],Overhead6[[#Headers],[Frais directement liés à l''activité - Logistique]])</f>
        <v>0</v>
      </c>
      <c r="E345" s="52">
        <f>SUMIFS(Recettes[Montant],Recettes[Allocation],Overhead6[[#This Row],[Fonction]],Recettes[Frais généraux],Overhead6[[#Headers],[Frais indirectement liés à l''activité - Prévues par la loi ]])</f>
        <v>0</v>
      </c>
      <c r="F345" s="52">
        <f>SUMIFS(Recettes[Montant],Recettes[Allocation],Overhead6[[#This Row],[Fonction]],Recettes[Frais généraux],Overhead6[[#Headers],[Frais indirectement liés à l''activité - Autres fonctions - Administration / Logistique]])</f>
        <v>0</v>
      </c>
      <c r="G345" s="52">
        <f>SUMIFS(Recettes[Montant],Recettes[Allocation],Overhead6[[#This Row],[Fonction]],Recettes[Frais généraux],Overhead6[[#Headers],[Frais indirectement liés à l''activité - Autres fonctions - Chargé(e) de direction]])</f>
        <v>0</v>
      </c>
      <c r="H345" s="53">
        <f>SUMIFS(Recettes[Montant],Recettes[Allocation],Overhead6[[#This Row],[Fonction]],Recettes[Frais généraux],Overhead6[[#Headers],[Frais indirectement liés à l''activité - Autres fonctions - Direction générale]])</f>
        <v>0</v>
      </c>
    </row>
    <row r="346" spans="1:8" x14ac:dyDescent="0.25">
      <c r="A346" s="738"/>
      <c r="B346" s="57" t="s">
        <v>400</v>
      </c>
      <c r="C346" s="52">
        <f>SUMIFS(Recettes[Montant],Recettes[Allocation],Overhead6[[#This Row],[Fonction]],Recettes[Frais généraux],Overhead6[[#Headers],[Frais directement liés à l''activité - Encadrement]])</f>
        <v>0</v>
      </c>
      <c r="D346" s="52">
        <f>SUMIFS(Recettes[Montant],Recettes[Allocation],Overhead6[[#This Row],[Fonction]],Recettes[Frais généraux],Overhead6[[#Headers],[Frais directement liés à l''activité - Logistique]])</f>
        <v>0</v>
      </c>
      <c r="E346" s="52">
        <f>SUMIFS(Recettes[Montant],Recettes[Allocation],Overhead6[[#This Row],[Fonction]],Recettes[Frais généraux],Overhead6[[#Headers],[Frais indirectement liés à l''activité - Prévues par la loi ]])</f>
        <v>0</v>
      </c>
      <c r="F346" s="52">
        <f>SUMIFS(Recettes[Montant],Recettes[Allocation],Overhead6[[#This Row],[Fonction]],Recettes[Frais généraux],Overhead6[[#Headers],[Frais indirectement liés à l''activité - Autres fonctions - Administration / Logistique]])</f>
        <v>0</v>
      </c>
      <c r="G346" s="52">
        <f>SUMIFS(Recettes[Montant],Recettes[Allocation],Overhead6[[#This Row],[Fonction]],Recettes[Frais généraux],Overhead6[[#Headers],[Frais indirectement liés à l''activité - Autres fonctions - Chargé(e) de direction]])</f>
        <v>0</v>
      </c>
      <c r="H346" s="53">
        <f>SUMIFS(Recettes[Montant],Recettes[Allocation],Overhead6[[#This Row],[Fonction]],Recettes[Frais généraux],Overhead6[[#Headers],[Frais indirectement liés à l''activité - Autres fonctions - Direction générale]])</f>
        <v>0</v>
      </c>
    </row>
    <row r="347" spans="1:8" x14ac:dyDescent="0.25">
      <c r="A347" s="738"/>
      <c r="B347" s="57" t="s">
        <v>401</v>
      </c>
      <c r="C347" s="52">
        <f>SUMIFS(Recettes[Montant],Recettes[Allocation],Overhead6[[#This Row],[Fonction]],Recettes[Frais généraux],Overhead6[[#Headers],[Frais directement liés à l''activité - Encadrement]])</f>
        <v>0</v>
      </c>
      <c r="D347" s="52">
        <f>SUMIFS(Recettes[Montant],Recettes[Allocation],Overhead6[[#This Row],[Fonction]],Recettes[Frais généraux],Overhead6[[#Headers],[Frais directement liés à l''activité - Logistique]])</f>
        <v>0</v>
      </c>
      <c r="E347" s="52">
        <f>SUMIFS(Recettes[Montant],Recettes[Allocation],Overhead6[[#This Row],[Fonction]],Recettes[Frais généraux],Overhead6[[#Headers],[Frais indirectement liés à l''activité - Prévues par la loi ]])</f>
        <v>0</v>
      </c>
      <c r="F347" s="52">
        <f>SUMIFS(Recettes[Montant],Recettes[Allocation],Overhead6[[#This Row],[Fonction]],Recettes[Frais généraux],Overhead6[[#Headers],[Frais indirectement liés à l''activité - Autres fonctions - Administration / Logistique]])</f>
        <v>0</v>
      </c>
      <c r="G347" s="52">
        <f>SUMIFS(Recettes[Montant],Recettes[Allocation],Overhead6[[#This Row],[Fonction]],Recettes[Frais généraux],Overhead6[[#Headers],[Frais indirectement liés à l''activité - Autres fonctions - Chargé(e) de direction]])</f>
        <v>0</v>
      </c>
      <c r="H347" s="53">
        <f>SUMIFS(Recettes[Montant],Recettes[Allocation],Overhead6[[#This Row],[Fonction]],Recettes[Frais généraux],Overhead6[[#Headers],[Frais indirectement liés à l''activité - Autres fonctions - Direction générale]])</f>
        <v>0</v>
      </c>
    </row>
    <row r="348" spans="1:8" x14ac:dyDescent="0.25">
      <c r="A348" s="738"/>
      <c r="B348" s="57" t="s">
        <v>109</v>
      </c>
      <c r="C348" s="52">
        <f>SUMIFS(Recettes[Montant],Recettes[Allocation],Overhead6[[#This Row],[Fonction]],Recettes[Frais généraux],Overhead6[[#Headers],[Frais directement liés à l''activité - Encadrement]])</f>
        <v>0</v>
      </c>
      <c r="D348" s="52">
        <f>SUMIFS(Recettes[Montant],Recettes[Allocation],Overhead6[[#This Row],[Fonction]],Recettes[Frais généraux],Overhead6[[#Headers],[Frais directement liés à l''activité - Logistique]])</f>
        <v>0</v>
      </c>
      <c r="E348" s="52">
        <f>SUMIFS(Recettes[Montant],Recettes[Allocation],Overhead6[[#This Row],[Fonction]],Recettes[Frais généraux],Overhead6[[#Headers],[Frais indirectement liés à l''activité - Prévues par la loi ]])</f>
        <v>0</v>
      </c>
      <c r="F348" s="52">
        <f>SUMIFS(Recettes[Montant],Recettes[Allocation],Overhead6[[#This Row],[Fonction]],Recettes[Frais généraux],Overhead6[[#Headers],[Frais indirectement liés à l''activité - Autres fonctions - Administration / Logistique]])</f>
        <v>0</v>
      </c>
      <c r="G348" s="52">
        <f>SUMIFS(Recettes[Montant],Recettes[Allocation],Overhead6[[#This Row],[Fonction]],Recettes[Frais généraux],Overhead6[[#Headers],[Frais indirectement liés à l''activité - Autres fonctions - Chargé(e) de direction]])</f>
        <v>0</v>
      </c>
      <c r="H348" s="53">
        <f>SUMIFS(Recettes[Montant],Recettes[Allocation],Overhead6[[#This Row],[Fonction]],Recettes[Frais généraux],Overhead6[[#Headers],[Frais indirectement liés à l''activité - Autres fonctions - Direction générale]])</f>
        <v>0</v>
      </c>
    </row>
    <row r="349" spans="1:8" x14ac:dyDescent="0.25">
      <c r="A349" s="738"/>
      <c r="B349" s="57" t="s">
        <v>610</v>
      </c>
      <c r="C349" s="52">
        <f>SUMIFS(Recettes[Montant],Recettes[Allocation],Overhead6[[#This Row],[Fonction]],Recettes[Frais généraux],Overhead6[[#Headers],[Frais directement liés à l''activité - Encadrement]])</f>
        <v>0</v>
      </c>
      <c r="D349" s="52">
        <f>SUMIFS(Recettes[Montant],Recettes[Allocation],Overhead6[[#This Row],[Fonction]],Recettes[Frais généraux],Overhead6[[#Headers],[Frais directement liés à l''activité - Logistique]])</f>
        <v>0</v>
      </c>
      <c r="E349" s="52">
        <f>SUMIFS(Recettes[Montant],Recettes[Allocation],Overhead6[[#This Row],[Fonction]],Recettes[Frais généraux],Overhead6[[#Headers],[Frais indirectement liés à l''activité - Prévues par la loi ]])</f>
        <v>0</v>
      </c>
      <c r="F349" s="52">
        <f>SUMIFS(Recettes[Montant],Recettes[Allocation],Overhead6[[#This Row],[Fonction]],Recettes[Frais généraux],Overhead6[[#Headers],[Frais indirectement liés à l''activité - Autres fonctions - Administration / Logistique]])</f>
        <v>0</v>
      </c>
      <c r="G349" s="52">
        <f>SUMIFS(Recettes[Montant],Recettes[Allocation],Overhead6[[#This Row],[Fonction]],Recettes[Frais généraux],Overhead6[[#Headers],[Frais indirectement liés à l''activité - Autres fonctions - Chargé(e) de direction]])</f>
        <v>0</v>
      </c>
      <c r="H349" s="53">
        <f>SUMIFS(Recettes[Montant],Recettes[Allocation],Overhead6[[#This Row],[Fonction]],Recettes[Frais généraux],Overhead6[[#Headers],[Frais indirectement liés à l''activité - Autres fonctions - Direction générale]])</f>
        <v>0</v>
      </c>
    </row>
    <row r="350" spans="1:8" ht="15.75" thickBot="1" x14ac:dyDescent="0.3">
      <c r="A350" s="739"/>
      <c r="B350" s="62" t="s">
        <v>200</v>
      </c>
      <c r="C350" s="54">
        <f>SUMIFS(Recettes[Montant],Recettes[Allocation],Overhead6[[#This Row],[Fonction]],Recettes[Frais généraux],Overhead6[[#Headers],[Frais directement liés à l''activité - Encadrement]])</f>
        <v>0</v>
      </c>
      <c r="D350" s="54">
        <f>SUMIFS(Recettes[Montant],Recettes[Allocation],Overhead6[[#This Row],[Fonction]],Recettes[Frais généraux],Overhead6[[#Headers],[Frais directement liés à l''activité - Logistique]])</f>
        <v>0</v>
      </c>
      <c r="E350" s="54">
        <f>SUMIFS(Recettes[Montant],Recettes[Allocation],Overhead6[[#This Row],[Fonction]],Recettes[Frais généraux],Overhead6[[#Headers],[Frais indirectement liés à l''activité - Prévues par la loi ]])</f>
        <v>0</v>
      </c>
      <c r="F350" s="54">
        <f>SUMIFS(Recettes[Montant],Recettes[Allocation],Overhead6[[#This Row],[Fonction]],Recettes[Frais généraux],Overhead6[[#Headers],[Frais indirectement liés à l''activité - Autres fonctions - Administration / Logistique]])</f>
        <v>0</v>
      </c>
      <c r="G350" s="54">
        <f>SUMIFS(Recettes[Montant],Recettes[Allocation],Overhead6[[#This Row],[Fonction]],Recettes[Frais généraux],Overhead6[[#Headers],[Frais indirectement liés à l''activité - Autres fonctions - Chargé(e) de direction]])</f>
        <v>0</v>
      </c>
      <c r="H350" s="55">
        <f>SUMIFS(Recettes[Montant],Recettes[Allocation],Overhead6[[#This Row],[Fonction]],Recettes[Frais généraux],Overhead6[[#Headers],[Frais indirectement liés à l''activité - Autres fonctions - Direction générale]])</f>
        <v>0</v>
      </c>
    </row>
    <row r="351" spans="1:8" x14ac:dyDescent="0.25">
      <c r="B351" s="57" t="s">
        <v>31</v>
      </c>
      <c r="C351" s="179">
        <f>SUBTOTAL(109,Overhead6[Frais directement liés à l''activité - Encadrement])</f>
        <v>0</v>
      </c>
      <c r="D351" s="179">
        <f>SUBTOTAL(109,Overhead6[Frais directement liés à l''activité - Logistique])</f>
        <v>0</v>
      </c>
      <c r="E351" s="179">
        <f>SUBTOTAL(109,Overhead6[Frais indirectement liés à l''activité - Prévues par la loi ])</f>
        <v>0</v>
      </c>
      <c r="F351" s="179">
        <f>SUBTOTAL(109,Overhead6[Frais indirectement liés à l''activité - Autres fonctions - Administration / Logistique])</f>
        <v>0</v>
      </c>
      <c r="G351" s="179">
        <f>SUBTOTAL(109,Overhead6[Frais indirectement liés à l''activité - Autres fonctions - Chargé(e) de direction])</f>
        <v>0</v>
      </c>
      <c r="H351" s="179">
        <f>SUBTOTAL(109,Overhead6[Frais indirectement liés à l''activité - Autres fonctions - Direction générale])</f>
        <v>0</v>
      </c>
    </row>
  </sheetData>
  <mergeCells count="6">
    <mergeCell ref="C144:D144"/>
    <mergeCell ref="A286:A304"/>
    <mergeCell ref="A305:A323"/>
    <mergeCell ref="A324:A342"/>
    <mergeCell ref="A343:A350"/>
    <mergeCell ref="A117:A168"/>
  </mergeCells>
  <conditionalFormatting sqref="C180">
    <cfRule type="cellIs" dxfId="51" priority="6" operator="greaterThan">
      <formula>" -   € "</formula>
    </cfRule>
  </conditionalFormatting>
  <conditionalFormatting sqref="F180">
    <cfRule type="cellIs" dxfId="50" priority="5" operator="greaterThan">
      <formula>" -   € "</formula>
    </cfRule>
  </conditionalFormatting>
  <hyperlinks>
    <hyperlink ref="E16" location="Redressement" display="Redressement" xr:uid="{CE659AE3-2096-4049-8642-1F87709CB7C9}"/>
  </hyperlinks>
  <pageMargins left="0.7" right="0.7" top="0.75" bottom="0.75" header="0.3" footer="0.3"/>
  <pageSetup paperSize="9" scale="10" fitToHeight="0" orientation="landscape" r:id="rId1"/>
  <rowBreaks count="1" manualBreakCount="1">
    <brk id="142" min="1" max="10"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A7F8D65D-0D36-4DB1-B19A-B22181CC68C0}">
            <xm:f>$C$71='Variable et Dropdowns'!$A$6</xm:f>
            <x14:dxf>
              <font>
                <color theme="0"/>
              </font>
              <fill>
                <patternFill>
                  <bgColor theme="0"/>
                </patternFill>
              </fill>
              <border>
                <left/>
                <right/>
                <top/>
                <bottom/>
                <vertical/>
                <horizontal/>
              </border>
            </x14:dxf>
          </x14:cfRule>
          <xm:sqref>D208</xm:sqref>
        </x14:conditionalFormatting>
        <x14:conditionalFormatting xmlns:xm="http://schemas.microsoft.com/office/excel/2006/main">
          <x14:cfRule type="expression" priority="2" id="{EF0368CC-5309-4F6C-A291-331C9BE33D0C}">
            <xm:f>$C$71='Variable et Dropdowns'!$A$6</xm:f>
            <x14:dxf>
              <font>
                <color theme="0"/>
              </font>
              <fill>
                <patternFill>
                  <bgColor theme="0"/>
                </patternFill>
              </fill>
              <border>
                <left/>
                <right/>
                <top/>
                <bottom/>
                <vertical/>
                <horizontal/>
              </border>
            </x14:dxf>
          </x14:cfRule>
          <xm:sqref>G207</xm:sqref>
        </x14:conditionalFormatting>
        <x14:conditionalFormatting xmlns:xm="http://schemas.microsoft.com/office/excel/2006/main">
          <x14:cfRule type="expression" priority="1" id="{6B95AAB2-1D94-48B9-81B1-8A1BA196A2C0}">
            <xm:f>$C$71='Variable et Dropdowns'!$A$6</xm:f>
            <x14:dxf>
              <font>
                <color theme="0"/>
              </font>
              <fill>
                <patternFill>
                  <bgColor theme="0"/>
                </patternFill>
              </fill>
              <border>
                <left/>
                <right/>
                <top/>
                <bottom/>
                <vertical/>
                <horizontal/>
              </border>
            </x14:dxf>
          </x14:cfRule>
          <xm:sqref>G208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1"/>
  </sheetPr>
  <dimension ref="A1:J26"/>
  <sheetViews>
    <sheetView workbookViewId="0">
      <selection activeCell="A2" sqref="A2"/>
    </sheetView>
  </sheetViews>
  <sheetFormatPr defaultColWidth="9.140625" defaultRowHeight="15" x14ac:dyDescent="0.25"/>
  <cols>
    <col min="1" max="1" width="80.28515625" style="2" customWidth="1"/>
    <col min="2" max="2" width="12.42578125" style="2" bestFit="1" customWidth="1"/>
    <col min="3" max="3" width="16.28515625" style="2" customWidth="1"/>
    <col min="4" max="6" width="13.140625" style="2" customWidth="1"/>
    <col min="7" max="11" width="9.140625" style="2"/>
    <col min="12" max="12" width="17.5703125" style="2" customWidth="1"/>
    <col min="13" max="16384" width="9.140625" style="2"/>
  </cols>
  <sheetData>
    <row r="1" spans="1:10" ht="15.75" x14ac:dyDescent="0.25">
      <c r="A1" s="308"/>
      <c r="B1" s="73"/>
      <c r="C1" s="73"/>
      <c r="D1" s="724" t="s">
        <v>730</v>
      </c>
      <c r="E1" s="724">
        <f>DATE('Informations générales 1'!C10,1,1)</f>
        <v>45292</v>
      </c>
      <c r="F1" s="73"/>
    </row>
    <row r="2" spans="1:10" ht="16.5" thickBot="1" x14ac:dyDescent="0.3">
      <c r="A2" s="309" t="s">
        <v>298</v>
      </c>
      <c r="B2" s="73"/>
      <c r="C2" s="309"/>
      <c r="D2" s="724" t="s">
        <v>84</v>
      </c>
      <c r="E2" s="724">
        <f>DATE('Informations générales 1'!C10,12,31)</f>
        <v>45657</v>
      </c>
      <c r="F2" s="309"/>
    </row>
    <row r="3" spans="1:10" ht="16.5" thickBot="1" x14ac:dyDescent="0.3">
      <c r="A3" s="523" t="s">
        <v>299</v>
      </c>
      <c r="B3" s="749">
        <f>'Informations générales 1'!C10</f>
        <v>2024</v>
      </c>
      <c r="C3" s="749"/>
      <c r="D3" s="749"/>
      <c r="E3" s="749"/>
      <c r="F3" s="750"/>
    </row>
    <row r="4" spans="1:10" ht="16.5" thickBot="1" x14ac:dyDescent="0.3">
      <c r="A4" s="537"/>
      <c r="B4" s="538" t="s">
        <v>300</v>
      </c>
      <c r="C4" s="539" t="s">
        <v>301</v>
      </c>
      <c r="D4" s="540" t="s">
        <v>303</v>
      </c>
      <c r="E4" s="539" t="s">
        <v>302</v>
      </c>
      <c r="F4" s="540" t="s">
        <v>304</v>
      </c>
    </row>
    <row r="5" spans="1:10" ht="16.5" thickBot="1" x14ac:dyDescent="0.3">
      <c r="A5" s="541" t="s">
        <v>305</v>
      </c>
      <c r="B5" s="723">
        <f>_xlfn.DAYS(E2,E1)+1</f>
        <v>366</v>
      </c>
      <c r="C5" s="542">
        <v>8</v>
      </c>
      <c r="D5" s="542">
        <f>B5*C5</f>
        <v>2928</v>
      </c>
      <c r="E5" s="542">
        <v>8</v>
      </c>
      <c r="F5" s="543">
        <f>E5*B5</f>
        <v>2928</v>
      </c>
    </row>
    <row r="6" spans="1:10" ht="16.5" thickBot="1" x14ac:dyDescent="0.3">
      <c r="A6" s="544" t="s">
        <v>693</v>
      </c>
      <c r="B6" s="545">
        <f>B5-NETWORKDAYS(E1,E2)</f>
        <v>104</v>
      </c>
      <c r="C6" s="546">
        <f>B6*8</f>
        <v>832</v>
      </c>
      <c r="D6" s="542">
        <f>D5-C6</f>
        <v>2096</v>
      </c>
      <c r="E6" s="546">
        <f>C6</f>
        <v>832</v>
      </c>
      <c r="F6" s="543">
        <f t="shared" ref="F6:F13" si="0">F5-E6</f>
        <v>2096</v>
      </c>
    </row>
    <row r="7" spans="1:10" ht="15.75" x14ac:dyDescent="0.25">
      <c r="A7" s="522" t="s">
        <v>694</v>
      </c>
      <c r="B7" s="522">
        <v>11</v>
      </c>
      <c r="C7" s="464">
        <v>88</v>
      </c>
      <c r="D7" s="464">
        <f>D6-C7</f>
        <v>2008</v>
      </c>
      <c r="E7" s="464">
        <f>C7</f>
        <v>88</v>
      </c>
      <c r="F7" s="464">
        <f t="shared" si="0"/>
        <v>2008</v>
      </c>
    </row>
    <row r="8" spans="1:10" ht="15.75" x14ac:dyDescent="0.25">
      <c r="A8" s="513" t="s">
        <v>306</v>
      </c>
      <c r="B8" s="513">
        <v>4</v>
      </c>
      <c r="C8" s="513"/>
      <c r="D8" s="513"/>
      <c r="E8" s="513">
        <f>B8*8</f>
        <v>32</v>
      </c>
      <c r="F8" s="462">
        <f t="shared" si="0"/>
        <v>1976</v>
      </c>
      <c r="H8" s="310"/>
    </row>
    <row r="9" spans="1:10" ht="15.75" x14ac:dyDescent="0.25">
      <c r="A9" s="512" t="s">
        <v>695</v>
      </c>
      <c r="B9" s="514" t="s">
        <v>700</v>
      </c>
      <c r="C9" s="462">
        <f>34*8</f>
        <v>272</v>
      </c>
      <c r="D9" s="462">
        <f>D7-C9</f>
        <v>1736</v>
      </c>
      <c r="E9" s="462">
        <f>32*8</f>
        <v>256</v>
      </c>
      <c r="F9" s="462">
        <f t="shared" si="0"/>
        <v>1720</v>
      </c>
      <c r="H9" s="310"/>
    </row>
    <row r="10" spans="1:10" ht="15.75" x14ac:dyDescent="0.25">
      <c r="A10" s="512" t="s">
        <v>696</v>
      </c>
      <c r="B10" s="514"/>
      <c r="C10" s="462">
        <v>4.9000000000000004</v>
      </c>
      <c r="D10" s="462">
        <f>D9-C10</f>
        <v>1731.1</v>
      </c>
      <c r="E10" s="462">
        <v>0</v>
      </c>
      <c r="F10" s="462">
        <f t="shared" si="0"/>
        <v>1720</v>
      </c>
      <c r="J10" s="311"/>
    </row>
    <row r="11" spans="1:10" ht="15.75" x14ac:dyDescent="0.25">
      <c r="A11" s="512" t="s">
        <v>697</v>
      </c>
      <c r="B11" s="512"/>
      <c r="C11" s="462">
        <v>8.4</v>
      </c>
      <c r="D11" s="462">
        <f>D10-C11</f>
        <v>1722.6999999999998</v>
      </c>
      <c r="E11" s="462">
        <v>0</v>
      </c>
      <c r="F11" s="462">
        <f t="shared" si="0"/>
        <v>1720</v>
      </c>
    </row>
    <row r="12" spans="1:10" ht="15.75" x14ac:dyDescent="0.25">
      <c r="A12" s="515" t="s">
        <v>698</v>
      </c>
      <c r="B12" s="516"/>
      <c r="C12" s="462">
        <v>3.2</v>
      </c>
      <c r="D12" s="517">
        <f>D11-C12</f>
        <v>1719.4999999999998</v>
      </c>
      <c r="E12" s="462">
        <v>0</v>
      </c>
      <c r="F12" s="517">
        <f t="shared" si="0"/>
        <v>1720</v>
      </c>
      <c r="J12" s="311"/>
    </row>
    <row r="13" spans="1:10" s="312" customFormat="1" ht="16.5" thickBot="1" x14ac:dyDescent="0.3">
      <c r="A13" s="518" t="s">
        <v>699</v>
      </c>
      <c r="B13" s="519"/>
      <c r="C13" s="463">
        <v>16</v>
      </c>
      <c r="D13" s="463">
        <f>D12-C13</f>
        <v>1703.4999999999998</v>
      </c>
      <c r="E13" s="463">
        <v>0</v>
      </c>
      <c r="F13" s="463">
        <f t="shared" si="0"/>
        <v>1720</v>
      </c>
    </row>
    <row r="14" spans="1:10" s="312" customFormat="1" ht="16.5" thickBot="1" x14ac:dyDescent="0.3">
      <c r="A14" s="532" t="s">
        <v>307</v>
      </c>
      <c r="B14" s="526"/>
      <c r="C14" s="527"/>
      <c r="D14" s="527">
        <f>D13</f>
        <v>1703.4999999999998</v>
      </c>
      <c r="E14" s="527"/>
      <c r="F14" s="528">
        <f>F13</f>
        <v>1720</v>
      </c>
    </row>
    <row r="15" spans="1:10" s="312" customFormat="1" ht="15.75" x14ac:dyDescent="0.25">
      <c r="A15" s="524" t="s">
        <v>308</v>
      </c>
      <c r="B15" s="524">
        <v>3</v>
      </c>
      <c r="C15" s="525">
        <v>24</v>
      </c>
      <c r="D15" s="525">
        <f t="shared" ref="D15:D20" si="1">D14-C15</f>
        <v>1679.4999999999998</v>
      </c>
      <c r="E15" s="525">
        <f>C15</f>
        <v>24</v>
      </c>
      <c r="F15" s="525">
        <f t="shared" ref="F15:F20" si="2">F14-E15</f>
        <v>1696</v>
      </c>
    </row>
    <row r="16" spans="1:10" s="312" customFormat="1" ht="15.75" x14ac:dyDescent="0.25">
      <c r="A16" s="520" t="s">
        <v>701</v>
      </c>
      <c r="B16" s="520"/>
      <c r="C16" s="521">
        <v>0</v>
      </c>
      <c r="D16" s="521">
        <f t="shared" si="1"/>
        <v>1679.4999999999998</v>
      </c>
      <c r="E16" s="521">
        <v>86</v>
      </c>
      <c r="F16" s="521">
        <f t="shared" si="2"/>
        <v>1610</v>
      </c>
    </row>
    <row r="17" spans="1:6" s="312" customFormat="1" ht="15.75" x14ac:dyDescent="0.25">
      <c r="A17" s="520" t="s">
        <v>309</v>
      </c>
      <c r="B17" s="520"/>
      <c r="C17" s="521">
        <v>1</v>
      </c>
      <c r="D17" s="521">
        <f t="shared" si="1"/>
        <v>1678.4999999999998</v>
      </c>
      <c r="E17" s="521">
        <f>C17</f>
        <v>1</v>
      </c>
      <c r="F17" s="521">
        <f t="shared" si="2"/>
        <v>1609</v>
      </c>
    </row>
    <row r="18" spans="1:6" s="312" customFormat="1" ht="15.75" x14ac:dyDescent="0.25">
      <c r="A18" s="520" t="s">
        <v>310</v>
      </c>
      <c r="B18" s="520"/>
      <c r="C18" s="521">
        <v>2</v>
      </c>
      <c r="D18" s="521">
        <f t="shared" si="1"/>
        <v>1676.4999999999998</v>
      </c>
      <c r="E18" s="521">
        <f>C18</f>
        <v>2</v>
      </c>
      <c r="F18" s="521">
        <f t="shared" si="2"/>
        <v>1607</v>
      </c>
    </row>
    <row r="19" spans="1:6" s="312" customFormat="1" ht="15.75" x14ac:dyDescent="0.25">
      <c r="A19" s="520" t="s">
        <v>311</v>
      </c>
      <c r="B19" s="520"/>
      <c r="C19" s="521">
        <v>6</v>
      </c>
      <c r="D19" s="521">
        <f t="shared" si="1"/>
        <v>1670.4999999999998</v>
      </c>
      <c r="E19" s="521">
        <f>C19</f>
        <v>6</v>
      </c>
      <c r="F19" s="521">
        <f t="shared" si="2"/>
        <v>1601</v>
      </c>
    </row>
    <row r="20" spans="1:6" ht="16.5" thickBot="1" x14ac:dyDescent="0.3">
      <c r="A20" s="529" t="s">
        <v>312</v>
      </c>
      <c r="B20" s="530"/>
      <c r="C20" s="531">
        <v>154</v>
      </c>
      <c r="D20" s="531">
        <f t="shared" si="1"/>
        <v>1516.4999999999998</v>
      </c>
      <c r="E20" s="531">
        <v>154</v>
      </c>
      <c r="F20" s="531">
        <f t="shared" si="2"/>
        <v>1447</v>
      </c>
    </row>
    <row r="21" spans="1:6" s="312" customFormat="1" ht="16.5" thickBot="1" x14ac:dyDescent="0.3">
      <c r="A21" s="532" t="s">
        <v>313</v>
      </c>
      <c r="B21" s="533"/>
      <c r="C21" s="534"/>
      <c r="D21" s="535">
        <f>D20</f>
        <v>1516.4999999999998</v>
      </c>
      <c r="E21" s="534"/>
      <c r="F21" s="536">
        <f>F20</f>
        <v>1447</v>
      </c>
    </row>
    <row r="22" spans="1:6" x14ac:dyDescent="0.25">
      <c r="A22" s="2" t="s">
        <v>314</v>
      </c>
    </row>
    <row r="23" spans="1:6" x14ac:dyDescent="0.25">
      <c r="B23" s="311"/>
    </row>
    <row r="24" spans="1:6" x14ac:dyDescent="0.25">
      <c r="F24" s="311"/>
    </row>
    <row r="26" spans="1:6" x14ac:dyDescent="0.25">
      <c r="F26" s="311"/>
    </row>
  </sheetData>
  <sheetProtection algorithmName="SHA-512" hashValue="VJX9kmjEdm3MxZpxYHkuCnZQF0ewzzNJAqJnrDS7CmbzBnusb5yRfCr4QonZomkGn+csBDrLej5alycDmpC4Hg==" saltValue="dlVEgb7f2EM4VrhDc4c7tA==" spinCount="100000" sheet="1" selectLockedCells="1"/>
  <mergeCells count="1">
    <mergeCell ref="B3:F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1"/>
  </sheetPr>
  <dimension ref="B2:D85"/>
  <sheetViews>
    <sheetView workbookViewId="0"/>
  </sheetViews>
  <sheetFormatPr defaultColWidth="9.140625" defaultRowHeight="15" x14ac:dyDescent="0.25"/>
  <cols>
    <col min="1" max="1" width="3.42578125" style="2" customWidth="1"/>
    <col min="2" max="2" width="9.140625" style="2"/>
    <col min="3" max="3" width="49.7109375" style="2" bestFit="1" customWidth="1"/>
    <col min="4" max="4" width="82.42578125" style="2" customWidth="1"/>
    <col min="5" max="16384" width="9.140625" style="2"/>
  </cols>
  <sheetData>
    <row r="2" spans="2:4" x14ac:dyDescent="0.25">
      <c r="B2" s="31" t="s">
        <v>140</v>
      </c>
      <c r="C2" s="32"/>
      <c r="D2" s="33"/>
    </row>
    <row r="3" spans="2:4" ht="45" x14ac:dyDescent="0.25">
      <c r="B3" s="754" t="s">
        <v>141</v>
      </c>
      <c r="C3" s="34" t="s">
        <v>142</v>
      </c>
      <c r="D3" s="45" t="s">
        <v>143</v>
      </c>
    </row>
    <row r="4" spans="2:4" x14ac:dyDescent="0.25">
      <c r="B4" s="755"/>
      <c r="C4" s="34" t="s">
        <v>144</v>
      </c>
      <c r="D4" s="45" t="s">
        <v>145</v>
      </c>
    </row>
    <row r="5" spans="2:4" x14ac:dyDescent="0.25">
      <c r="B5" s="755"/>
      <c r="C5" s="34" t="s">
        <v>146</v>
      </c>
      <c r="D5" s="45" t="s">
        <v>147</v>
      </c>
    </row>
    <row r="6" spans="2:4" ht="30" x14ac:dyDescent="0.25">
      <c r="B6" s="755"/>
      <c r="C6" s="34" t="s">
        <v>148</v>
      </c>
      <c r="D6" s="45" t="s">
        <v>149</v>
      </c>
    </row>
    <row r="7" spans="2:4" x14ac:dyDescent="0.25">
      <c r="B7" s="756"/>
      <c r="C7" s="34" t="s">
        <v>150</v>
      </c>
      <c r="D7" s="45" t="s">
        <v>151</v>
      </c>
    </row>
    <row r="8" spans="2:4" ht="15" customHeight="1" x14ac:dyDescent="0.25">
      <c r="B8" s="754" t="s">
        <v>152</v>
      </c>
      <c r="C8" s="34" t="s">
        <v>153</v>
      </c>
      <c r="D8" s="45" t="s">
        <v>154</v>
      </c>
    </row>
    <row r="9" spans="2:4" x14ac:dyDescent="0.25">
      <c r="B9" s="755"/>
      <c r="C9" s="34" t="s">
        <v>155</v>
      </c>
      <c r="D9" s="45" t="s">
        <v>154</v>
      </c>
    </row>
    <row r="10" spans="2:4" x14ac:dyDescent="0.25">
      <c r="B10" s="755"/>
      <c r="C10" s="34" t="s">
        <v>156</v>
      </c>
      <c r="D10" s="45" t="s">
        <v>157</v>
      </c>
    </row>
    <row r="11" spans="2:4" x14ac:dyDescent="0.25">
      <c r="B11" s="755"/>
      <c r="C11" s="34" t="s">
        <v>158</v>
      </c>
      <c r="D11" s="45" t="s">
        <v>157</v>
      </c>
    </row>
    <row r="12" spans="2:4" x14ac:dyDescent="0.25">
      <c r="B12" s="755"/>
      <c r="C12" s="34" t="s">
        <v>159</v>
      </c>
      <c r="D12" s="45" t="s">
        <v>160</v>
      </c>
    </row>
    <row r="13" spans="2:4" x14ac:dyDescent="0.25">
      <c r="B13" s="755"/>
      <c r="C13" s="34" t="s">
        <v>161</v>
      </c>
      <c r="D13" s="45" t="s">
        <v>160</v>
      </c>
    </row>
    <row r="14" spans="2:4" x14ac:dyDescent="0.25">
      <c r="B14" s="755"/>
      <c r="C14" s="34" t="s">
        <v>162</v>
      </c>
      <c r="D14" s="45" t="s">
        <v>163</v>
      </c>
    </row>
    <row r="15" spans="2:4" x14ac:dyDescent="0.25">
      <c r="B15" s="755"/>
      <c r="C15" s="34" t="s">
        <v>164</v>
      </c>
      <c r="D15" s="45" t="s">
        <v>163</v>
      </c>
    </row>
    <row r="16" spans="2:4" x14ac:dyDescent="0.25">
      <c r="B16" s="755"/>
      <c r="C16" s="34" t="s">
        <v>165</v>
      </c>
      <c r="D16" s="45" t="s">
        <v>163</v>
      </c>
    </row>
    <row r="17" spans="2:4" x14ac:dyDescent="0.25">
      <c r="B17" s="755"/>
      <c r="C17" s="34" t="s">
        <v>166</v>
      </c>
      <c r="D17" s="45" t="s">
        <v>163</v>
      </c>
    </row>
    <row r="18" spans="2:4" x14ac:dyDescent="0.25">
      <c r="B18" s="755"/>
      <c r="C18" s="34" t="s">
        <v>167</v>
      </c>
      <c r="D18" s="45" t="s">
        <v>168</v>
      </c>
    </row>
    <row r="19" spans="2:4" x14ac:dyDescent="0.25">
      <c r="B19" s="755"/>
      <c r="C19" s="34" t="s">
        <v>169</v>
      </c>
      <c r="D19" s="45" t="s">
        <v>168</v>
      </c>
    </row>
    <row r="20" spans="2:4" x14ac:dyDescent="0.25">
      <c r="B20" s="755"/>
      <c r="C20" s="34" t="s">
        <v>170</v>
      </c>
      <c r="D20" s="45" t="s">
        <v>168</v>
      </c>
    </row>
    <row r="21" spans="2:4" x14ac:dyDescent="0.25">
      <c r="B21" s="755"/>
      <c r="C21" s="34" t="s">
        <v>171</v>
      </c>
      <c r="D21" s="45" t="s">
        <v>172</v>
      </c>
    </row>
    <row r="22" spans="2:4" x14ac:dyDescent="0.25">
      <c r="B22" s="756"/>
      <c r="C22" s="34" t="s">
        <v>173</v>
      </c>
      <c r="D22" s="45" t="s">
        <v>172</v>
      </c>
    </row>
    <row r="23" spans="2:4" ht="15" customHeight="1" x14ac:dyDescent="0.25">
      <c r="B23" s="754" t="s">
        <v>174</v>
      </c>
      <c r="C23" s="34" t="s">
        <v>175</v>
      </c>
      <c r="D23" s="45" t="s">
        <v>176</v>
      </c>
    </row>
    <row r="24" spans="2:4" x14ac:dyDescent="0.25">
      <c r="B24" s="755"/>
      <c r="C24" s="34" t="s">
        <v>177</v>
      </c>
      <c r="D24" s="45" t="s">
        <v>176</v>
      </c>
    </row>
    <row r="25" spans="2:4" ht="30" x14ac:dyDescent="0.25">
      <c r="B25" s="755"/>
      <c r="C25" s="34" t="s">
        <v>178</v>
      </c>
      <c r="D25" s="45" t="s">
        <v>179</v>
      </c>
    </row>
    <row r="26" spans="2:4" ht="30" x14ac:dyDescent="0.25">
      <c r="B26" s="755"/>
      <c r="C26" s="34" t="s">
        <v>180</v>
      </c>
      <c r="D26" s="45" t="s">
        <v>179</v>
      </c>
    </row>
    <row r="27" spans="2:4" ht="60" x14ac:dyDescent="0.25">
      <c r="B27" s="755"/>
      <c r="C27" s="34" t="s">
        <v>181</v>
      </c>
      <c r="D27" s="45" t="s">
        <v>182</v>
      </c>
    </row>
    <row r="28" spans="2:4" ht="60" x14ac:dyDescent="0.25">
      <c r="B28" s="755"/>
      <c r="C28" s="34" t="s">
        <v>183</v>
      </c>
      <c r="D28" s="45" t="s">
        <v>182</v>
      </c>
    </row>
    <row r="29" spans="2:4" ht="30" x14ac:dyDescent="0.25">
      <c r="B29" s="755"/>
      <c r="C29" s="34" t="s">
        <v>184</v>
      </c>
      <c r="D29" s="45" t="s">
        <v>185</v>
      </c>
    </row>
    <row r="30" spans="2:4" ht="30" x14ac:dyDescent="0.25">
      <c r="B30" s="755"/>
      <c r="C30" s="34" t="s">
        <v>186</v>
      </c>
      <c r="D30" s="45" t="s">
        <v>185</v>
      </c>
    </row>
    <row r="31" spans="2:4" ht="30" x14ac:dyDescent="0.25">
      <c r="B31" s="755"/>
      <c r="C31" s="34" t="s">
        <v>187</v>
      </c>
      <c r="D31" s="45" t="s">
        <v>188</v>
      </c>
    </row>
    <row r="32" spans="2:4" ht="30" x14ac:dyDescent="0.25">
      <c r="B32" s="755"/>
      <c r="C32" s="34" t="s">
        <v>187</v>
      </c>
      <c r="D32" s="45" t="s">
        <v>188</v>
      </c>
    </row>
    <row r="33" spans="2:4" x14ac:dyDescent="0.25">
      <c r="B33" s="756"/>
      <c r="C33" s="34" t="s">
        <v>189</v>
      </c>
      <c r="D33" s="45" t="s">
        <v>190</v>
      </c>
    </row>
    <row r="34" spans="2:4" x14ac:dyDescent="0.25">
      <c r="B34" s="757" t="s">
        <v>191</v>
      </c>
      <c r="C34" s="34" t="s">
        <v>192</v>
      </c>
      <c r="D34" s="45" t="s">
        <v>193</v>
      </c>
    </row>
    <row r="35" spans="2:4" ht="30" x14ac:dyDescent="0.25">
      <c r="B35" s="758"/>
      <c r="C35" s="34" t="s">
        <v>194</v>
      </c>
      <c r="D35" s="45" t="s">
        <v>195</v>
      </c>
    </row>
    <row r="36" spans="2:4" x14ac:dyDescent="0.25">
      <c r="B36" s="758"/>
      <c r="C36" s="34" t="s">
        <v>196</v>
      </c>
      <c r="D36" s="45" t="s">
        <v>197</v>
      </c>
    </row>
    <row r="37" spans="2:4" x14ac:dyDescent="0.25">
      <c r="B37" s="759"/>
      <c r="C37" s="34" t="s">
        <v>198</v>
      </c>
      <c r="D37" s="45" t="s">
        <v>197</v>
      </c>
    </row>
    <row r="38" spans="2:4" x14ac:dyDescent="0.25">
      <c r="B38" s="757" t="s">
        <v>737</v>
      </c>
      <c r="C38" s="34" t="s">
        <v>725</v>
      </c>
      <c r="D38" s="45" t="s">
        <v>732</v>
      </c>
    </row>
    <row r="39" spans="2:4" x14ac:dyDescent="0.25">
      <c r="B39" s="758"/>
      <c r="C39" s="34" t="s">
        <v>729</v>
      </c>
      <c r="D39" s="45" t="s">
        <v>733</v>
      </c>
    </row>
    <row r="40" spans="2:4" x14ac:dyDescent="0.25">
      <c r="B40" s="758"/>
      <c r="C40" s="34" t="s">
        <v>728</v>
      </c>
      <c r="D40" s="45" t="s">
        <v>734</v>
      </c>
    </row>
    <row r="41" spans="2:4" x14ac:dyDescent="0.25">
      <c r="B41" s="758"/>
      <c r="C41" s="34" t="s">
        <v>727</v>
      </c>
      <c r="D41" s="45" t="s">
        <v>735</v>
      </c>
    </row>
    <row r="42" spans="2:4" x14ac:dyDescent="0.25">
      <c r="B42" s="759"/>
      <c r="C42" s="34" t="s">
        <v>726</v>
      </c>
      <c r="D42" s="45" t="s">
        <v>736</v>
      </c>
    </row>
    <row r="43" spans="2:4" x14ac:dyDescent="0.25">
      <c r="B43" s="726"/>
      <c r="C43" s="34" t="s">
        <v>201</v>
      </c>
      <c r="D43" s="45" t="s">
        <v>201</v>
      </c>
    </row>
    <row r="44" spans="2:4" x14ac:dyDescent="0.25">
      <c r="B44" s="754" t="s">
        <v>202</v>
      </c>
      <c r="C44" s="751" t="s">
        <v>203</v>
      </c>
      <c r="D44" s="45" t="s">
        <v>204</v>
      </c>
    </row>
    <row r="45" spans="2:4" x14ac:dyDescent="0.25">
      <c r="B45" s="755"/>
      <c r="C45" s="753"/>
      <c r="D45" s="45" t="s">
        <v>205</v>
      </c>
    </row>
    <row r="46" spans="2:4" x14ac:dyDescent="0.25">
      <c r="B46" s="755"/>
      <c r="C46" s="751" t="s">
        <v>206</v>
      </c>
      <c r="D46" s="45" t="s">
        <v>207</v>
      </c>
    </row>
    <row r="47" spans="2:4" ht="30" x14ac:dyDescent="0.25">
      <c r="B47" s="755"/>
      <c r="C47" s="752"/>
      <c r="D47" s="45" t="s">
        <v>208</v>
      </c>
    </row>
    <row r="48" spans="2:4" x14ac:dyDescent="0.25">
      <c r="B48" s="755"/>
      <c r="C48" s="753"/>
      <c r="D48" s="45" t="s">
        <v>209</v>
      </c>
    </row>
    <row r="49" spans="2:4" x14ac:dyDescent="0.25">
      <c r="B49" s="755"/>
      <c r="C49" s="751" t="s">
        <v>210</v>
      </c>
      <c r="D49" s="45" t="s">
        <v>211</v>
      </c>
    </row>
    <row r="50" spans="2:4" x14ac:dyDescent="0.25">
      <c r="B50" s="755"/>
      <c r="C50" s="752"/>
      <c r="D50" s="45" t="s">
        <v>212</v>
      </c>
    </row>
    <row r="51" spans="2:4" x14ac:dyDescent="0.25">
      <c r="B51" s="755"/>
      <c r="C51" s="752"/>
      <c r="D51" s="45" t="s">
        <v>213</v>
      </c>
    </row>
    <row r="52" spans="2:4" x14ac:dyDescent="0.25">
      <c r="B52" s="755"/>
      <c r="C52" s="752"/>
      <c r="D52" s="45" t="s">
        <v>214</v>
      </c>
    </row>
    <row r="53" spans="2:4" x14ac:dyDescent="0.25">
      <c r="B53" s="755"/>
      <c r="C53" s="752"/>
      <c r="D53" s="45" t="s">
        <v>215</v>
      </c>
    </row>
    <row r="54" spans="2:4" x14ac:dyDescent="0.25">
      <c r="B54" s="755"/>
      <c r="C54" s="752"/>
      <c r="D54" s="45" t="s">
        <v>216</v>
      </c>
    </row>
    <row r="55" spans="2:4" ht="30" x14ac:dyDescent="0.25">
      <c r="B55" s="755"/>
      <c r="C55" s="753"/>
      <c r="D55" s="45" t="s">
        <v>217</v>
      </c>
    </row>
    <row r="56" spans="2:4" x14ac:dyDescent="0.25">
      <c r="B56" s="755"/>
      <c r="C56" s="751" t="s">
        <v>218</v>
      </c>
      <c r="D56" s="45" t="s">
        <v>219</v>
      </c>
    </row>
    <row r="57" spans="2:4" ht="30" x14ac:dyDescent="0.25">
      <c r="B57" s="755"/>
      <c r="C57" s="752"/>
      <c r="D57" s="45" t="s">
        <v>220</v>
      </c>
    </row>
    <row r="58" spans="2:4" x14ac:dyDescent="0.25">
      <c r="B58" s="755"/>
      <c r="C58" s="752"/>
      <c r="D58" s="45" t="s">
        <v>221</v>
      </c>
    </row>
    <row r="59" spans="2:4" ht="30" x14ac:dyDescent="0.25">
      <c r="B59" s="755"/>
      <c r="C59" s="753"/>
      <c r="D59" s="45" t="s">
        <v>222</v>
      </c>
    </row>
    <row r="60" spans="2:4" x14ac:dyDescent="0.25">
      <c r="B60" s="755"/>
      <c r="C60" s="751" t="s">
        <v>223</v>
      </c>
      <c r="D60" s="45" t="s">
        <v>224</v>
      </c>
    </row>
    <row r="61" spans="2:4" x14ac:dyDescent="0.25">
      <c r="B61" s="755"/>
      <c r="C61" s="753"/>
      <c r="D61" s="45" t="s">
        <v>225</v>
      </c>
    </row>
    <row r="62" spans="2:4" x14ac:dyDescent="0.25">
      <c r="B62" s="755"/>
      <c r="C62" s="751" t="s">
        <v>226</v>
      </c>
      <c r="D62" s="45" t="s">
        <v>227</v>
      </c>
    </row>
    <row r="63" spans="2:4" x14ac:dyDescent="0.25">
      <c r="B63" s="755"/>
      <c r="C63" s="752"/>
      <c r="D63" s="45" t="s">
        <v>228</v>
      </c>
    </row>
    <row r="64" spans="2:4" x14ac:dyDescent="0.25">
      <c r="B64" s="755"/>
      <c r="C64" s="752"/>
      <c r="D64" s="45" t="s">
        <v>229</v>
      </c>
    </row>
    <row r="65" spans="2:4" x14ac:dyDescent="0.25">
      <c r="B65" s="755"/>
      <c r="C65" s="752"/>
      <c r="D65" s="45" t="s">
        <v>230</v>
      </c>
    </row>
    <row r="66" spans="2:4" x14ac:dyDescent="0.25">
      <c r="B66" s="755"/>
      <c r="C66" s="752"/>
      <c r="D66" s="45" t="s">
        <v>231</v>
      </c>
    </row>
    <row r="67" spans="2:4" x14ac:dyDescent="0.25">
      <c r="B67" s="755"/>
      <c r="C67" s="752"/>
      <c r="D67" s="45" t="s">
        <v>232</v>
      </c>
    </row>
    <row r="68" spans="2:4" x14ac:dyDescent="0.25">
      <c r="B68" s="755"/>
      <c r="C68" s="753"/>
      <c r="D68" s="45" t="s">
        <v>233</v>
      </c>
    </row>
    <row r="69" spans="2:4" x14ac:dyDescent="0.25">
      <c r="B69" s="755"/>
      <c r="C69" s="751" t="s">
        <v>234</v>
      </c>
      <c r="D69" s="45" t="s">
        <v>235</v>
      </c>
    </row>
    <row r="70" spans="2:4" x14ac:dyDescent="0.25">
      <c r="B70" s="755"/>
      <c r="C70" s="752"/>
      <c r="D70" s="45" t="s">
        <v>236</v>
      </c>
    </row>
    <row r="71" spans="2:4" x14ac:dyDescent="0.25">
      <c r="B71" s="755"/>
      <c r="C71" s="752"/>
      <c r="D71" s="45" t="s">
        <v>237</v>
      </c>
    </row>
    <row r="72" spans="2:4" x14ac:dyDescent="0.25">
      <c r="B72" s="755"/>
      <c r="C72" s="752"/>
      <c r="D72" s="45" t="s">
        <v>238</v>
      </c>
    </row>
    <row r="73" spans="2:4" x14ac:dyDescent="0.25">
      <c r="B73" s="755"/>
      <c r="C73" s="752"/>
      <c r="D73" s="45" t="s">
        <v>239</v>
      </c>
    </row>
    <row r="74" spans="2:4" x14ac:dyDescent="0.25">
      <c r="B74" s="755"/>
      <c r="C74" s="752"/>
      <c r="D74" s="45" t="s">
        <v>240</v>
      </c>
    </row>
    <row r="75" spans="2:4" x14ac:dyDescent="0.25">
      <c r="B75" s="755"/>
      <c r="C75" s="752"/>
      <c r="D75" s="45" t="s">
        <v>241</v>
      </c>
    </row>
    <row r="76" spans="2:4" x14ac:dyDescent="0.25">
      <c r="B76" s="755"/>
      <c r="C76" s="752"/>
      <c r="D76" s="45" t="s">
        <v>242</v>
      </c>
    </row>
    <row r="77" spans="2:4" x14ac:dyDescent="0.25">
      <c r="B77" s="755"/>
      <c r="C77" s="752"/>
      <c r="D77" s="45" t="s">
        <v>243</v>
      </c>
    </row>
    <row r="78" spans="2:4" x14ac:dyDescent="0.25">
      <c r="B78" s="755"/>
      <c r="C78" s="752"/>
      <c r="D78" s="45" t="s">
        <v>244</v>
      </c>
    </row>
    <row r="79" spans="2:4" x14ac:dyDescent="0.25">
      <c r="B79" s="755"/>
      <c r="C79" s="752"/>
      <c r="D79" s="45" t="s">
        <v>245</v>
      </c>
    </row>
    <row r="80" spans="2:4" x14ac:dyDescent="0.25">
      <c r="B80" s="755"/>
      <c r="C80" s="752"/>
      <c r="D80" s="45" t="s">
        <v>246</v>
      </c>
    </row>
    <row r="81" spans="2:4" x14ac:dyDescent="0.25">
      <c r="B81" s="755"/>
      <c r="C81" s="752"/>
      <c r="D81" s="45" t="s">
        <v>247</v>
      </c>
    </row>
    <row r="82" spans="2:4" x14ac:dyDescent="0.25">
      <c r="B82" s="755"/>
      <c r="C82" s="753"/>
      <c r="D82" s="45" t="s">
        <v>248</v>
      </c>
    </row>
    <row r="83" spans="2:4" x14ac:dyDescent="0.25">
      <c r="B83" s="755"/>
      <c r="C83" s="751" t="s">
        <v>249</v>
      </c>
      <c r="D83" s="45" t="s">
        <v>250</v>
      </c>
    </row>
    <row r="84" spans="2:4" x14ac:dyDescent="0.25">
      <c r="B84" s="755"/>
      <c r="C84" s="752"/>
      <c r="D84" s="45" t="s">
        <v>251</v>
      </c>
    </row>
    <row r="85" spans="2:4" x14ac:dyDescent="0.25">
      <c r="B85" s="755"/>
      <c r="C85" s="753"/>
      <c r="D85" s="45" t="s">
        <v>252</v>
      </c>
    </row>
  </sheetData>
  <sheetProtection algorithmName="SHA-512" hashValue="eeiMyfu3DK08oArrpTIbKo7AzZ2Bu0gat1MPcqZjpSKQbxqpOSEGnKrigUQRZFY+xaqDoloMlABaswpY8vzisA==" saltValue="E51J6wO9UwQ6eQ7gfyoBJQ==" spinCount="100000" sheet="1" selectLockedCells="1"/>
  <mergeCells count="14">
    <mergeCell ref="C62:C68"/>
    <mergeCell ref="C69:C82"/>
    <mergeCell ref="C83:C85"/>
    <mergeCell ref="B3:B7"/>
    <mergeCell ref="B8:B22"/>
    <mergeCell ref="B23:B33"/>
    <mergeCell ref="B34:B37"/>
    <mergeCell ref="B44:B85"/>
    <mergeCell ref="C44:C45"/>
    <mergeCell ref="C46:C48"/>
    <mergeCell ref="C49:C55"/>
    <mergeCell ref="C56:C59"/>
    <mergeCell ref="C60:C61"/>
    <mergeCell ref="B38:B4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1"/>
  </sheetPr>
  <dimension ref="B2:F27"/>
  <sheetViews>
    <sheetView workbookViewId="0">
      <selection activeCell="F20" sqref="F20"/>
    </sheetView>
  </sheetViews>
  <sheetFormatPr defaultColWidth="9.140625" defaultRowHeight="15" x14ac:dyDescent="0.25"/>
  <cols>
    <col min="1" max="1" width="3.140625" style="2" customWidth="1"/>
    <col min="2" max="3" width="23.42578125" style="2" bestFit="1" customWidth="1"/>
    <col min="4" max="4" width="39.7109375" style="2" bestFit="1" customWidth="1"/>
    <col min="5" max="5" width="36.85546875" style="2" bestFit="1" customWidth="1"/>
    <col min="6" max="6" width="49.7109375" style="2" bestFit="1" customWidth="1"/>
    <col min="7" max="16384" width="9.140625" style="2"/>
  </cols>
  <sheetData>
    <row r="2" spans="2:6" s="21" customFormat="1" x14ac:dyDescent="0.25">
      <c r="B2" s="224" t="s">
        <v>315</v>
      </c>
      <c r="C2" s="225"/>
      <c r="D2" s="224" t="s">
        <v>364</v>
      </c>
      <c r="E2" s="224" t="s">
        <v>365</v>
      </c>
      <c r="F2" s="712" t="s">
        <v>366</v>
      </c>
    </row>
    <row r="3" spans="2:6" x14ac:dyDescent="0.25">
      <c r="B3" s="47" t="s">
        <v>364</v>
      </c>
      <c r="C3" s="3"/>
      <c r="D3" s="47" t="s">
        <v>368</v>
      </c>
      <c r="E3" s="710" t="s">
        <v>388</v>
      </c>
      <c r="F3" s="47" t="s">
        <v>546</v>
      </c>
    </row>
    <row r="4" spans="2:6" x14ac:dyDescent="0.25">
      <c r="B4" s="48" t="s">
        <v>365</v>
      </c>
      <c r="C4" s="3"/>
      <c r="D4" s="48" t="s">
        <v>367</v>
      </c>
      <c r="E4" s="711" t="s">
        <v>347</v>
      </c>
      <c r="F4" s="48" t="s">
        <v>725</v>
      </c>
    </row>
    <row r="5" spans="2:6" x14ac:dyDescent="0.25">
      <c r="B5" s="49" t="s">
        <v>366</v>
      </c>
      <c r="C5" s="3"/>
      <c r="D5" s="48" t="s">
        <v>545</v>
      </c>
      <c r="E5" s="711" t="s">
        <v>387</v>
      </c>
      <c r="F5" s="48" t="s">
        <v>345</v>
      </c>
    </row>
    <row r="6" spans="2:6" x14ac:dyDescent="0.25">
      <c r="D6" s="48" t="s">
        <v>369</v>
      </c>
      <c r="E6" s="711" t="s">
        <v>236</v>
      </c>
      <c r="F6" s="48" t="s">
        <v>346</v>
      </c>
    </row>
    <row r="7" spans="2:6" x14ac:dyDescent="0.25">
      <c r="D7" s="48" t="s">
        <v>370</v>
      </c>
      <c r="E7" s="711" t="s">
        <v>381</v>
      </c>
      <c r="F7" s="48" t="s">
        <v>729</v>
      </c>
    </row>
    <row r="8" spans="2:6" x14ac:dyDescent="0.25">
      <c r="B8" s="46"/>
      <c r="D8" s="48" t="s">
        <v>371</v>
      </c>
      <c r="E8" s="711" t="s">
        <v>382</v>
      </c>
      <c r="F8" s="48" t="s">
        <v>728</v>
      </c>
    </row>
    <row r="9" spans="2:6" x14ac:dyDescent="0.25">
      <c r="B9" s="3"/>
      <c r="D9" s="48" t="s">
        <v>372</v>
      </c>
      <c r="E9" s="711" t="s">
        <v>383</v>
      </c>
      <c r="F9" s="48" t="s">
        <v>727</v>
      </c>
    </row>
    <row r="10" spans="2:6" x14ac:dyDescent="0.25">
      <c r="B10" s="3"/>
      <c r="D10" s="48" t="s">
        <v>373</v>
      </c>
      <c r="E10" s="711" t="s">
        <v>384</v>
      </c>
      <c r="F10" s="49" t="s">
        <v>726</v>
      </c>
    </row>
    <row r="11" spans="2:6" x14ac:dyDescent="0.25">
      <c r="B11" s="3"/>
      <c r="D11" s="48" t="s">
        <v>374</v>
      </c>
      <c r="E11" s="350" t="s">
        <v>385</v>
      </c>
    </row>
    <row r="12" spans="2:6" x14ac:dyDescent="0.25">
      <c r="B12" s="3"/>
      <c r="D12" s="48" t="s">
        <v>375</v>
      </c>
      <c r="E12" s="350" t="s">
        <v>386</v>
      </c>
    </row>
    <row r="13" spans="2:6" x14ac:dyDescent="0.25">
      <c r="B13" s="3"/>
      <c r="D13" s="48" t="s">
        <v>376</v>
      </c>
      <c r="E13" s="350" t="s">
        <v>543</v>
      </c>
    </row>
    <row r="14" spans="2:6" x14ac:dyDescent="0.25">
      <c r="B14" s="3"/>
      <c r="D14" s="48" t="s">
        <v>221</v>
      </c>
      <c r="E14" s="350" t="s">
        <v>238</v>
      </c>
    </row>
    <row r="15" spans="2:6" x14ac:dyDescent="0.25">
      <c r="B15" s="3"/>
      <c r="D15" s="48" t="s">
        <v>377</v>
      </c>
      <c r="E15" s="350" t="s">
        <v>544</v>
      </c>
    </row>
    <row r="16" spans="2:6" x14ac:dyDescent="0.25">
      <c r="B16" s="3"/>
      <c r="D16" s="48" t="s">
        <v>378</v>
      </c>
      <c r="E16" s="350" t="s">
        <v>239</v>
      </c>
    </row>
    <row r="17" spans="2:5" x14ac:dyDescent="0.25">
      <c r="B17" s="3"/>
      <c r="D17" s="48" t="s">
        <v>379</v>
      </c>
      <c r="E17" s="351" t="s">
        <v>389</v>
      </c>
    </row>
    <row r="18" spans="2:5" x14ac:dyDescent="0.25">
      <c r="B18" s="3"/>
      <c r="D18" s="49" t="s">
        <v>380</v>
      </c>
    </row>
    <row r="19" spans="2:5" x14ac:dyDescent="0.25">
      <c r="B19" s="3"/>
    </row>
    <row r="20" spans="2:5" x14ac:dyDescent="0.25">
      <c r="B20" s="3"/>
    </row>
    <row r="21" spans="2:5" x14ac:dyDescent="0.25">
      <c r="B21" s="3"/>
    </row>
    <row r="22" spans="2:5" x14ac:dyDescent="0.25">
      <c r="B22" s="3"/>
    </row>
    <row r="23" spans="2:5" x14ac:dyDescent="0.25">
      <c r="B23" s="46"/>
    </row>
    <row r="24" spans="2:5" x14ac:dyDescent="0.25">
      <c r="B24" s="3"/>
    </row>
    <row r="25" spans="2:5" x14ac:dyDescent="0.25">
      <c r="B25" s="3"/>
    </row>
    <row r="26" spans="2:5" x14ac:dyDescent="0.25">
      <c r="B26" s="3"/>
    </row>
    <row r="27" spans="2:5" x14ac:dyDescent="0.25">
      <c r="B27" s="3"/>
    </row>
  </sheetData>
  <sheetProtection algorithmName="SHA-512" hashValue="DuiFh3pnS20KWRld0hgkveQo2Iyap0wqv02DVXjP0Or8N/3aeak2VwpE1s0mqT2HLnMzhT+mMdbS7hV5R4E93g==" saltValue="pdPgEJaYtBCm0w4513QYLA==" spinCount="100000" sheet="1" selectLockedCells="1"/>
  <sortState xmlns:xlrd2="http://schemas.microsoft.com/office/spreadsheetml/2017/richdata2" ref="D3:D18">
    <sortCondition ref="D3:D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Informations générales 1</vt:lpstr>
      <vt:lpstr>Informations générales 2</vt:lpstr>
      <vt:lpstr>Informations générales 3</vt:lpstr>
      <vt:lpstr>BPI</vt:lpstr>
      <vt:lpstr>Renfort Temporaire</vt:lpstr>
      <vt:lpstr>Formation</vt:lpstr>
      <vt:lpstr>FONCTIONNEMENT</vt:lpstr>
      <vt:lpstr>SALAIRES CCT SAS</vt:lpstr>
      <vt:lpstr>SALAIRES COMMUNE</vt:lpstr>
      <vt:lpstr>RECETTES</vt:lpstr>
      <vt:lpstr>TABLEAU FINAL</vt:lpstr>
      <vt:lpstr>TABLEAU FINAL COVID</vt:lpstr>
      <vt:lpstr>Variable et Dropdowns</vt:lpstr>
      <vt:lpstr>ETP RECAP</vt:lpstr>
      <vt:lpstr>REVEX</vt:lpstr>
      <vt:lpstr>RTT</vt:lpstr>
      <vt:lpstr>Grille CCT SAS</vt:lpstr>
      <vt:lpstr>Grille communale</vt:lpstr>
      <vt:lpstr>delta</vt:lpstr>
      <vt:lpstr>Employé</vt:lpstr>
      <vt:lpstr>Fonctionnaire</vt:lpstr>
      <vt:lpstr>BPI!Print_Area</vt:lpstr>
      <vt:lpstr>FONCTIONNEMENT!Print_Area</vt:lpstr>
      <vt:lpstr>'Informations générales 1'!Print_Area</vt:lpstr>
      <vt:lpstr>'Informations générales 2'!Print_Area</vt:lpstr>
      <vt:lpstr>'Informations générales 3'!Print_Area</vt:lpstr>
      <vt:lpstr>'RECETTES'!Print_Area</vt:lpstr>
      <vt:lpstr>'Renfort Temporaire'!Print_Area</vt:lpstr>
      <vt:lpstr>REVEX!Print_Area</vt:lpstr>
      <vt:lpstr>'SALAIRES CCT SAS'!Print_Area</vt:lpstr>
      <vt:lpstr>'SALAIRES COMMUNE'!Print_Area</vt:lpstr>
      <vt:lpstr>'TABLEAU FINAL'!Print_Area</vt:lpstr>
      <vt:lpstr>'TABLEAU FINAL COVID'!Print_Area</vt:lpstr>
      <vt:lpstr>Redressement</vt:lpstr>
      <vt:lpstr>Salarié</vt:lpstr>
    </vt:vector>
  </TitlesOfParts>
  <Company>MENJE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 Van Kaufenbergh</dc:creator>
  <cp:lastModifiedBy>VAN KAUFENBERGH André</cp:lastModifiedBy>
  <cp:lastPrinted>2024-03-20T10:51:33Z</cp:lastPrinted>
  <dcterms:created xsi:type="dcterms:W3CDTF">2019-10-29T09:35:06Z</dcterms:created>
  <dcterms:modified xsi:type="dcterms:W3CDTF">2025-02-03T08:32:57Z</dcterms:modified>
</cp:coreProperties>
</file>